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bdo Ibrahiem\Downloads\"/>
    </mc:Choice>
  </mc:AlternateContent>
  <xr:revisionPtr revIDLastSave="0" documentId="13_ncr:1_{05E3046E-2E91-4757-B579-644966BF5604}" xr6:coauthVersionLast="47" xr6:coauthVersionMax="47" xr10:uidLastSave="{00000000-0000-0000-0000-000000000000}"/>
  <bookViews>
    <workbookView xWindow="-120" yWindow="-120" windowWidth="20730" windowHeight="11160" tabRatio="693" activeTab="7" xr2:uid="{00000000-000D-0000-FFFF-FFFF00000000}"/>
  </bookViews>
  <sheets>
    <sheet name="يناير" sheetId="3" r:id="rId1"/>
    <sheet name="فبراير" sheetId="4" r:id="rId2"/>
    <sheet name="مارس" sheetId="5" r:id="rId3"/>
    <sheet name="أبريل" sheetId="6" r:id="rId4"/>
    <sheet name="مايو" sheetId="7" r:id="rId5"/>
    <sheet name="يونيو" sheetId="8" r:id="rId6"/>
    <sheet name="يوليو" sheetId="9" r:id="rId7"/>
    <sheet name="أغسطس" sheetId="10" r:id="rId8"/>
    <sheet name="سبتمبر" sheetId="11" r:id="rId9"/>
    <sheet name="أكتوبر" sheetId="12" r:id="rId10"/>
    <sheet name="نوفمبر" sheetId="13" r:id="rId11"/>
    <sheet name="ديسمبر" sheetId="14" r:id="rId12"/>
    <sheet name="أسماء الموظفين" sheetId="2" r:id="rId13"/>
  </sheets>
  <externalReferences>
    <externalReference r:id="rId14"/>
  </externalReferences>
  <definedNames>
    <definedName name="CalendarYear">[1]يناير!$AH$4</definedName>
    <definedName name="ColumnTitle13" localSheetId="3">[1]!اسم_الموظف[[#Headers],[أسماء الموظفين]]</definedName>
    <definedName name="ColumnTitle13" localSheetId="7">[1]!اسم_الموظف[[#Headers],[أسماء الموظفين]]</definedName>
    <definedName name="ColumnTitle13" localSheetId="9">[1]!اسم_الموظف[[#Headers],[أسماء الموظفين]]</definedName>
    <definedName name="ColumnTitle13" localSheetId="11">[1]!اسم_الموظف[[#Headers],[أسماء الموظفين]]</definedName>
    <definedName name="ColumnTitle13" localSheetId="8">[1]!اسم_الموظف[[#Headers],[أسماء الموظفين]]</definedName>
    <definedName name="ColumnTitle13" localSheetId="1">[1]!اسم_الموظف[[#Headers],[أسماء الموظفين]]</definedName>
    <definedName name="ColumnTitle13" localSheetId="2">[1]!اسم_الموظف[[#Headers],[أسماء الموظفين]]</definedName>
    <definedName name="ColumnTitle13" localSheetId="4">[1]!اسم_الموظف[[#Headers],[أسماء الموظفين]]</definedName>
    <definedName name="ColumnTitle13" localSheetId="10">[1]!اسم_الموظف[[#Headers],[أسماء الموظفين]]</definedName>
    <definedName name="ColumnTitle13" localSheetId="0">[1]!اسم_الموظف[[#Headers],[أسماء الموظفين]]</definedName>
    <definedName name="ColumnTitle13" localSheetId="6">[1]!اسم_الموظف[[#Headers],[أسماء الموظفين]]</definedName>
    <definedName name="ColumnTitle13" localSheetId="5">[1]!اسم_الموظف[[#Headers],[أسماء الموظفين]]</definedName>
    <definedName name="ColumnTitle13">اسم_الموظف[[#Headers],[أسماء الموظفين]]</definedName>
    <definedName name="Employee_Absence_Title" localSheetId="3">[1]يناير!$B$1</definedName>
    <definedName name="Employee_Absence_Title" localSheetId="7">[1]يناير!$B$1</definedName>
    <definedName name="Employee_Absence_Title" localSheetId="9">[1]يناير!$B$1</definedName>
    <definedName name="Employee_Absence_Title" localSheetId="11">[1]يناير!$B$1</definedName>
    <definedName name="Employee_Absence_Title" localSheetId="8">[1]يناير!$B$1</definedName>
    <definedName name="Employee_Absence_Title" localSheetId="1">[1]يناير!$B$1</definedName>
    <definedName name="Employee_Absence_Title" localSheetId="2">[1]يناير!$B$1</definedName>
    <definedName name="Employee_Absence_Title" localSheetId="4">[1]يناير!$B$1</definedName>
    <definedName name="Employee_Absence_Title" localSheetId="10">[1]يناير!$B$1</definedName>
    <definedName name="Employee_Absence_Title" localSheetId="6">[1]يناير!$B$1</definedName>
    <definedName name="Employee_Absence_Title" localSheetId="5">[1]يناير!$B$1</definedName>
    <definedName name="Employee_Absence_Title">يناير!$B$1</definedName>
    <definedName name="Key_name">يناير!$B$2</definedName>
    <definedName name="KeyCustom1" localSheetId="0">يناير!$N$2</definedName>
    <definedName name="KeyCustom1">[1]يناير!$N$2</definedName>
    <definedName name="KeyCustom1Label">يناير!$O$2</definedName>
    <definedName name="KeyCustom2" localSheetId="0">يناير!$R$2</definedName>
    <definedName name="KeyCustom2">[1]يناير!$R$2</definedName>
    <definedName name="KeyCustom2Label">يناير!$S$2</definedName>
    <definedName name="KeyPersonal" localSheetId="0">يناير!$G$2</definedName>
    <definedName name="KeyPersonal">[1]يناير!$G$2</definedName>
    <definedName name="KeyPersonalLabel">يناير!$H$2</definedName>
    <definedName name="KeySick" localSheetId="0">يناير!$K$2</definedName>
    <definedName name="KeySick">[1]يناير!$K$2</definedName>
    <definedName name="KeySickLabel">يناير!$L$2</definedName>
    <definedName name="KeyVacation" localSheetId="0">يناير!$C$2</definedName>
    <definedName name="KeyVacation">[1]يناير!$C$2</definedName>
    <definedName name="KeyVacationLabel">يناير!$D$2</definedName>
    <definedName name="MonthName" localSheetId="3">أبريل!$B$4</definedName>
    <definedName name="MonthName" localSheetId="7">أغسطس!$B$4</definedName>
    <definedName name="MonthName" localSheetId="9">أكتوبر!$B$4</definedName>
    <definedName name="MonthName" localSheetId="11">ديسمبر!$B$4</definedName>
    <definedName name="MonthName" localSheetId="8">سبتمبر!$B$4</definedName>
    <definedName name="MonthName" localSheetId="1">فبراير!$B$4</definedName>
    <definedName name="MonthName" localSheetId="2">مارس!$B$4</definedName>
    <definedName name="MonthName" localSheetId="4">مايو!$B$4</definedName>
    <definedName name="MonthName" localSheetId="10">نوفمبر!$B$4</definedName>
    <definedName name="MonthName" localSheetId="0">يناير!$B$4</definedName>
    <definedName name="MonthName" localSheetId="6">يوليو!$B$4</definedName>
    <definedName name="MonthName" localSheetId="5">يونيو!$B$4</definedName>
    <definedName name="_xlnm.Print_Titles" localSheetId="3">أبريل!$4:$6</definedName>
    <definedName name="_xlnm.Print_Titles" localSheetId="7">أغسطس!$4:$6</definedName>
    <definedName name="_xlnm.Print_Titles" localSheetId="9">أكتوبر!$4:$6</definedName>
    <definedName name="_xlnm.Print_Titles" localSheetId="11">ديسمبر!$4:$6</definedName>
    <definedName name="_xlnm.Print_Titles" localSheetId="8">سبتمبر!$4:$6</definedName>
    <definedName name="_xlnm.Print_Titles" localSheetId="1">فبراير!$4:$6</definedName>
    <definedName name="_xlnm.Print_Titles" localSheetId="2">مارس!$4:$6</definedName>
    <definedName name="_xlnm.Print_Titles" localSheetId="4">مايو!$4:$6</definedName>
    <definedName name="_xlnm.Print_Titles" localSheetId="10">نوفمبر!$4:$6</definedName>
    <definedName name="_xlnm.Print_Titles" localSheetId="0">يناير!$4:$6</definedName>
    <definedName name="_xlnm.Print_Titles" localSheetId="6">يوليو!$4:$6</definedName>
    <definedName name="_xlnm.Print_Titles" localSheetId="5">يونيو!$4:$6</definedName>
    <definedName name="العنوان_1" localSheetId="3">[1]!يناير[[#Headers],[اسم الموظف]]</definedName>
    <definedName name="العنوان_1" localSheetId="7">[1]!يناير[[#Headers],[اسم الموظف]]</definedName>
    <definedName name="العنوان_1" localSheetId="9">[1]!يناير[[#Headers],[اسم الموظف]]</definedName>
    <definedName name="العنوان_1" localSheetId="11">[1]!يناير[[#Headers],[اسم الموظف]]</definedName>
    <definedName name="العنوان_1" localSheetId="8">[1]!يناير[[#Headers],[اسم الموظف]]</definedName>
    <definedName name="العنوان_1" localSheetId="1">[1]!يناير[[#Headers],[اسم الموظف]]</definedName>
    <definedName name="العنوان_1" localSheetId="2">[1]!يناير[[#Headers],[اسم الموظف]]</definedName>
    <definedName name="العنوان_1" localSheetId="4">[1]!يناير[[#Headers],[اسم الموظف]]</definedName>
    <definedName name="العنوان_1" localSheetId="10">[1]!يناير[[#Headers],[اسم الموظف]]</definedName>
    <definedName name="العنوان_1" localSheetId="6">[1]!يناير[[#Headers],[اسم الموظف]]</definedName>
    <definedName name="العنوان_1" localSheetId="5">[1]!يناير[[#Headers],[اسم الموظف]]</definedName>
    <definedName name="العنوان_1">يناير[[#Headers],[اسم الموظف]]</definedName>
    <definedName name="العنوان_10" localSheetId="11">[1]!أكتوبر[[#Headers],[اسم الموظف]]</definedName>
    <definedName name="العنوان_10" localSheetId="10">[1]!أكتوبر[[#Headers],[اسم الموظف]]</definedName>
    <definedName name="العنوان_10">أكتوبر[[#Headers],[اسم الموظف]]</definedName>
    <definedName name="العنوان_11" localSheetId="11">[1]!نوفمبر[[#Headers],[اسم الموظف]]</definedName>
    <definedName name="العنوان_11">نوفمبر[[#Headers],[اسم الموظف]]</definedName>
    <definedName name="العنوان_12">ديسمبر[[#Headers],[اسم الموظف]]</definedName>
    <definedName name="العنوان_2" localSheetId="3">[1]!فبراير[[#Headers],[اسم الموظف]]</definedName>
    <definedName name="العنوان_2" localSheetId="7">[1]!فبراير[[#Headers],[اسم الموظف]]</definedName>
    <definedName name="العنوان_2" localSheetId="9">[1]!فبراير[[#Headers],[اسم الموظف]]</definedName>
    <definedName name="العنوان_2" localSheetId="11">[1]!فبراير[[#Headers],[اسم الموظف]]</definedName>
    <definedName name="العنوان_2" localSheetId="8">[1]!فبراير[[#Headers],[اسم الموظف]]</definedName>
    <definedName name="العنوان_2" localSheetId="2">[1]!فبراير[[#Headers],[اسم الموظف]]</definedName>
    <definedName name="العنوان_2" localSheetId="4">[1]!فبراير[[#Headers],[اسم الموظف]]</definedName>
    <definedName name="العنوان_2" localSheetId="10">[1]!فبراير[[#Headers],[اسم الموظف]]</definedName>
    <definedName name="العنوان_2" localSheetId="6">[1]!فبراير[[#Headers],[اسم الموظف]]</definedName>
    <definedName name="العنوان_2" localSheetId="5">[1]!فبراير[[#Headers],[اسم الموظف]]</definedName>
    <definedName name="العنوان_2">فبراير[[#Headers],[اسم الموظف]]</definedName>
    <definedName name="العنوان_3" localSheetId="3">[1]!مارس[[#Headers],[اسم الموظف]]</definedName>
    <definedName name="العنوان_3" localSheetId="7">[1]!مارس[[#Headers],[اسم الموظف]]</definedName>
    <definedName name="العنوان_3" localSheetId="9">[1]!مارس[[#Headers],[اسم الموظف]]</definedName>
    <definedName name="العنوان_3" localSheetId="11">[1]!مارس[[#Headers],[اسم الموظف]]</definedName>
    <definedName name="العنوان_3" localSheetId="8">[1]!مارس[[#Headers],[اسم الموظف]]</definedName>
    <definedName name="العنوان_3" localSheetId="4">[1]!مارس[[#Headers],[اسم الموظف]]</definedName>
    <definedName name="العنوان_3" localSheetId="10">[1]!مارس[[#Headers],[اسم الموظف]]</definedName>
    <definedName name="العنوان_3" localSheetId="6">[1]!مارس[[#Headers],[اسم الموظف]]</definedName>
    <definedName name="العنوان_3" localSheetId="5">[1]!مارس[[#Headers],[اسم الموظف]]</definedName>
    <definedName name="العنوان_3">مارس[[#Headers],[اسم الموظف]]</definedName>
    <definedName name="العنوان_4" localSheetId="7">[1]!أبريل[[#Headers],[اسم الموظف]]</definedName>
    <definedName name="العنوان_4" localSheetId="9">[1]!أبريل[[#Headers],[اسم الموظف]]</definedName>
    <definedName name="العنوان_4" localSheetId="11">[1]!أبريل[[#Headers],[اسم الموظف]]</definedName>
    <definedName name="العنوان_4" localSheetId="8">[1]!أبريل[[#Headers],[اسم الموظف]]</definedName>
    <definedName name="العنوان_4" localSheetId="4">[1]!أبريل[[#Headers],[اسم الموظف]]</definedName>
    <definedName name="العنوان_4" localSheetId="10">[1]!أبريل[[#Headers],[اسم الموظف]]</definedName>
    <definedName name="العنوان_4" localSheetId="6">[1]!أبريل[[#Headers],[اسم الموظف]]</definedName>
    <definedName name="العنوان_4" localSheetId="5">[1]!أبريل[[#Headers],[اسم الموظف]]</definedName>
    <definedName name="العنوان_4">أبريل[[#Headers],[اسم الموظف]]</definedName>
    <definedName name="العنوان_5" localSheetId="7">[1]!مايو[[#Headers],[اسم الموظف]]</definedName>
    <definedName name="العنوان_5" localSheetId="9">[1]!مايو[[#Headers],[اسم الموظف]]</definedName>
    <definedName name="العنوان_5" localSheetId="11">[1]!مايو[[#Headers],[اسم الموظف]]</definedName>
    <definedName name="العنوان_5" localSheetId="8">[1]!مايو[[#Headers],[اسم الموظف]]</definedName>
    <definedName name="العنوان_5" localSheetId="10">[1]!مايو[[#Headers],[اسم الموظف]]</definedName>
    <definedName name="العنوان_5" localSheetId="6">[1]!مايو[[#Headers],[اسم الموظف]]</definedName>
    <definedName name="العنوان_5" localSheetId="5">[1]!مايو[[#Headers],[اسم الموظف]]</definedName>
    <definedName name="العنوان_5">مايو[[#Headers],[اسم الموظف]]</definedName>
    <definedName name="العنوان_6" localSheetId="7">[1]!يونيو[[#Headers],[اسم الموظف]]</definedName>
    <definedName name="العنوان_6" localSheetId="9">[1]!يونيو[[#Headers],[اسم الموظف]]</definedName>
    <definedName name="العنوان_6" localSheetId="11">[1]!يونيو[[#Headers],[اسم الموظف]]</definedName>
    <definedName name="العنوان_6" localSheetId="8">[1]!يونيو[[#Headers],[اسم الموظف]]</definedName>
    <definedName name="العنوان_6" localSheetId="10">[1]!يونيو[[#Headers],[اسم الموظف]]</definedName>
    <definedName name="العنوان_6" localSheetId="6">[1]!يونيو[[#Headers],[اسم الموظف]]</definedName>
    <definedName name="العنوان_6">يونيو[[#Headers],[اسم الموظف]]</definedName>
    <definedName name="العنوان_7" localSheetId="7">[1]!يوليو[[#Headers],[اسم الموظف]]</definedName>
    <definedName name="العنوان_7" localSheetId="9">[1]!يوليو[[#Headers],[اسم الموظف]]</definedName>
    <definedName name="العنوان_7" localSheetId="11">[1]!يوليو[[#Headers],[اسم الموظف]]</definedName>
    <definedName name="العنوان_7" localSheetId="8">[1]!يوليو[[#Headers],[اسم الموظف]]</definedName>
    <definedName name="العنوان_7" localSheetId="10">[1]!يوليو[[#Headers],[اسم الموظف]]</definedName>
    <definedName name="العنوان_7">يوليو[[#Headers],[اسم الموظف]]</definedName>
    <definedName name="العنوان_8" localSheetId="9">[1]!أغسطس[[#Headers],[اسم الموظف]]</definedName>
    <definedName name="العنوان_8" localSheetId="11">[1]!أغسطس[[#Headers],[اسم الموظف]]</definedName>
    <definedName name="العنوان_8" localSheetId="8">[1]!أغسطس[[#Headers],[اسم الموظف]]</definedName>
    <definedName name="العنوان_8" localSheetId="10">[1]!أغسطس[[#Headers],[اسم الموظف]]</definedName>
    <definedName name="العنوان_8">أغسطس[[#Headers],[اسم الموظف]]</definedName>
    <definedName name="العنوان_9" localSheetId="9">[1]!سبتمبر[[#Headers],[اسم الموظف]]</definedName>
    <definedName name="العنوان_9" localSheetId="11">[1]!سبتمبر[[#Headers],[اسم الموظف]]</definedName>
    <definedName name="العنوان_9" localSheetId="10">[1]!سبتمبر[[#Headers],[اسم الموظف]]</definedName>
    <definedName name="العنوان_9">سبتمبر[[#Headers],[اسم الموظف]]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14" l="1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H11" i="14"/>
  <c r="AH10" i="14"/>
  <c r="AH9" i="14"/>
  <c r="AH8" i="14"/>
  <c r="AH7" i="14"/>
  <c r="AH12" i="14" s="1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AH4" i="14"/>
  <c r="B1" i="14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H11" i="13"/>
  <c r="AH10" i="13"/>
  <c r="AH9" i="13"/>
  <c r="AH8" i="13"/>
  <c r="AH7" i="13"/>
  <c r="AH12" i="13" s="1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AH4" i="13"/>
  <c r="B1" i="13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H11" i="12"/>
  <c r="AH10" i="12"/>
  <c r="AH9" i="12"/>
  <c r="AH8" i="12"/>
  <c r="AH7" i="12"/>
  <c r="AH12" i="12" s="1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AH4" i="12"/>
  <c r="B1" i="12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H11" i="11"/>
  <c r="AH10" i="11"/>
  <c r="AH9" i="11"/>
  <c r="AH8" i="11"/>
  <c r="AH7" i="11"/>
  <c r="AH12" i="11" s="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AH4" i="11"/>
  <c r="B1" i="11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H11" i="10"/>
  <c r="AH10" i="10"/>
  <c r="AH9" i="10"/>
  <c r="AH8" i="10"/>
  <c r="AH7" i="10"/>
  <c r="AH12" i="10" s="1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AH4" i="10"/>
  <c r="B1" i="10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H11" i="9"/>
  <c r="AH10" i="9"/>
  <c r="AH9" i="9"/>
  <c r="AH8" i="9"/>
  <c r="AH7" i="9"/>
  <c r="AH12" i="9" s="1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H4" i="9"/>
  <c r="B1" i="9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H11" i="8"/>
  <c r="AH10" i="8"/>
  <c r="AH9" i="8"/>
  <c r="AH8" i="8"/>
  <c r="AH7" i="8"/>
  <c r="AH12" i="8" s="1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AH4" i="8"/>
  <c r="B1" i="8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H11" i="7"/>
  <c r="AH10" i="7"/>
  <c r="AH9" i="7"/>
  <c r="AH8" i="7"/>
  <c r="AH7" i="7"/>
  <c r="AH12" i="7" s="1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AH4" i="7"/>
  <c r="B1" i="7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H11" i="6"/>
  <c r="AH10" i="6"/>
  <c r="AH9" i="6"/>
  <c r="AH8" i="6"/>
  <c r="AH7" i="6"/>
  <c r="AH12" i="6" s="1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H4" i="6"/>
  <c r="B1" i="6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H11" i="5"/>
  <c r="AH10" i="5"/>
  <c r="AH9" i="5"/>
  <c r="AH8" i="5"/>
  <c r="AH7" i="5"/>
  <c r="AH12" i="5" s="1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H4" i="5"/>
  <c r="B1" i="5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H11" i="4"/>
  <c r="AH10" i="4"/>
  <c r="AH9" i="4"/>
  <c r="AH8" i="4"/>
  <c r="AH7" i="4"/>
  <c r="AH12" i="4" s="1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H4" i="4"/>
  <c r="B1" i="4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H11" i="3"/>
  <c r="AH10" i="3"/>
  <c r="AH9" i="3"/>
  <c r="AH8" i="3"/>
  <c r="AH7" i="3"/>
  <c r="AH12" i="3" s="1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</calcChain>
</file>

<file path=xl/sharedStrings.xml><?xml version="1.0" encoding="utf-8"?>
<sst xmlns="http://schemas.openxmlformats.org/spreadsheetml/2006/main" count="643" uniqueCount="65">
  <si>
    <t>أسماء الموظفين</t>
  </si>
  <si>
    <t>الموظف 1</t>
  </si>
  <si>
    <t>الموظف 2</t>
  </si>
  <si>
    <t>الموظف 3</t>
  </si>
  <si>
    <t>الموظف 4</t>
  </si>
  <si>
    <t>الموظف 5</t>
  </si>
  <si>
    <t>جدول غياب الموظفين</t>
  </si>
  <si>
    <t>مفتاح نوع الغياب</t>
  </si>
  <si>
    <t>ع</t>
  </si>
  <si>
    <t>العطلة</t>
  </si>
  <si>
    <t>ش</t>
  </si>
  <si>
    <t>أسباب شخصية</t>
  </si>
  <si>
    <t>م</t>
  </si>
  <si>
    <t>مرضي</t>
  </si>
  <si>
    <t>مخصص 1</t>
  </si>
  <si>
    <t>مخصص 2</t>
  </si>
  <si>
    <t>أدخل السنة:</t>
  </si>
  <si>
    <t>يناير</t>
  </si>
  <si>
    <t>تواريخ الغياب</t>
  </si>
  <si>
    <t>اسم الموظف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</si>
  <si>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</si>
  <si>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</si>
  <si>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</si>
  <si>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</si>
  <si>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</si>
  <si>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</si>
  <si>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</si>
  <si>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</si>
  <si>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</si>
  <si>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</si>
  <si>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</si>
  <si>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</si>
  <si>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</si>
  <si>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</si>
  <si>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</si>
  <si>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</si>
  <si>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</si>
  <si>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</si>
  <si>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</si>
  <si>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</si>
  <si>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</si>
  <si>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</si>
  <si>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</si>
  <si>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</si>
  <si>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</si>
  <si>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</si>
  <si>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</si>
  <si>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</si>
  <si>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</si>
  <si>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</si>
  <si>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</si>
  <si>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إجمالي الأيام</t>
  </si>
  <si>
    <t>فبراير</t>
  </si>
  <si>
    <t xml:space="preserve"> </t>
  </si>
  <si>
    <t xml:space="preserve">  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</si>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</sst>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0;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  <font>
      <b/>
      <sz val="26"/>
      <color theme="3"/>
      <name val="Tahoma"/>
      <family val="2"/>
    </font>
    <font>
      <b/>
      <sz val="11"/>
      <color theme="1"/>
      <name val="Tahoma"/>
      <family val="2"/>
    </font>
    <font>
      <sz val="11"/>
      <color theme="4" tint="-0.499984740745262"/>
      <name val="Tahoma"/>
      <family val="2"/>
    </font>
    <font>
      <b/>
      <sz val="18"/>
      <color theme="4" tint="-0.24994659260841701"/>
      <name val="Tahoma"/>
      <family val="2"/>
    </font>
    <font>
      <sz val="11"/>
      <color theme="3"/>
      <name val="Tahoma"/>
      <family val="2"/>
    </font>
    <font>
      <u/>
      <sz val="11"/>
      <color theme="10"/>
      <name val="Arial"/>
      <family val="2"/>
      <scheme val="minor"/>
    </font>
    <font>
      <b/>
      <sz val="18"/>
      <color rgb="FF002060"/>
      <name val="Tahoma"/>
      <family val="2"/>
    </font>
    <font>
      <b/>
      <sz val="20"/>
      <color rgb="FF00206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>
      <alignment horizontal="left" vertical="center"/>
    </xf>
    <xf numFmtId="0" fontId="2" fillId="0" borderId="0" applyNumberFormat="0" applyFill="0" applyBorder="0" applyProtection="0">
      <alignment vertical="top"/>
    </xf>
    <xf numFmtId="0" fontId="1" fillId="0" borderId="0" applyNumberFormat="0" applyFill="0" applyBorder="0">
      <alignment horizontal="left" vertical="center" wrapText="1" indent="2"/>
    </xf>
    <xf numFmtId="0" fontId="3" fillId="6" borderId="0" applyNumberFormat="0" applyProtection="0">
      <alignment horizontal="right" vertical="center" indent="1"/>
    </xf>
    <xf numFmtId="0" fontId="3" fillId="7" borderId="0" applyNumberFormat="0" applyBorder="0" applyAlignment="0" applyProtection="0"/>
    <xf numFmtId="0" fontId="1" fillId="5" borderId="0" applyNumberFormat="0" applyBorder="0" applyAlignment="0" applyProtection="0">
      <alignment readingOrder="2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>
      <alignment horizontal="center"/>
    </xf>
    <xf numFmtId="0" fontId="5" fillId="5" borderId="0" applyNumberFormat="0" applyBorder="0" applyProtection="0">
      <alignment horizontal="center" vertical="center" readingOrder="2"/>
    </xf>
    <xf numFmtId="1" fontId="1" fillId="0" borderId="0" applyFill="0" applyBorder="0" applyProtection="0">
      <alignment horizontal="center" vertical="center"/>
    </xf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1" applyAlignment="1">
      <alignment horizontal="right" vertical="center" readingOrder="2"/>
    </xf>
    <xf numFmtId="0" fontId="2" fillId="0" borderId="0" xfId="2" applyAlignment="1">
      <alignment vertical="top" readingOrder="2"/>
    </xf>
    <xf numFmtId="0" fontId="1" fillId="0" borderId="0" xfId="3" applyAlignment="1">
      <alignment horizontal="right" vertical="center" wrapText="1" indent="2" readingOrder="2"/>
    </xf>
    <xf numFmtId="0" fontId="1" fillId="0" borderId="0" xfId="1" applyAlignment="1">
      <alignment horizontal="right" vertical="center" wrapText="1" readingOrder="2"/>
    </xf>
    <xf numFmtId="0" fontId="2" fillId="0" borderId="0" xfId="2" applyAlignment="1" applyProtection="1">
      <alignment vertical="top" readingOrder="2"/>
    </xf>
    <xf numFmtId="0" fontId="1" fillId="0" borderId="0" xfId="1" applyAlignment="1">
      <alignment horizontal="left" vertical="center" readingOrder="2"/>
    </xf>
    <xf numFmtId="0" fontId="3" fillId="6" borderId="0" xfId="4" applyAlignment="1" applyProtection="1">
      <alignment horizontal="left" vertical="center" indent="1" readingOrder="2"/>
    </xf>
    <xf numFmtId="0" fontId="3" fillId="7" borderId="0" xfId="5" applyAlignment="1" applyProtection="1">
      <alignment horizontal="center" vertical="center" readingOrder="2"/>
    </xf>
    <xf numFmtId="0" fontId="3" fillId="2" borderId="0" xfId="7" applyAlignment="1" applyProtection="1">
      <alignment horizontal="center" vertical="center" readingOrder="2"/>
    </xf>
    <xf numFmtId="0" fontId="3" fillId="3" borderId="0" xfId="8" applyAlignment="1" applyProtection="1">
      <alignment horizontal="center" vertical="center" readingOrder="2"/>
    </xf>
    <xf numFmtId="164" fontId="3" fillId="8" borderId="0" xfId="9" applyNumberFormat="1" applyAlignment="1" applyProtection="1">
      <alignment horizontal="center" vertical="center" readingOrder="2"/>
    </xf>
    <xf numFmtId="164" fontId="3" fillId="4" borderId="0" xfId="10" applyNumberFormat="1" applyAlignment="1" applyProtection="1">
      <alignment horizontal="center" vertical="center" readingOrder="2"/>
    </xf>
    <xf numFmtId="0" fontId="4" fillId="0" borderId="0" xfId="11" applyAlignment="1">
      <alignment horizontal="center" readingOrder="2"/>
    </xf>
    <xf numFmtId="0" fontId="5" fillId="5" borderId="0" xfId="12" applyProtection="1">
      <alignment horizontal="center" vertical="center" readingOrder="2"/>
    </xf>
    <xf numFmtId="0" fontId="1" fillId="0" borderId="0" xfId="1" applyAlignment="1">
      <alignment horizontal="center" vertical="center" readingOrder="2"/>
    </xf>
    <xf numFmtId="0" fontId="1" fillId="5" borderId="0" xfId="6" applyBorder="1" applyAlignment="1" applyProtection="1">
      <alignment horizontal="right" vertical="center" indent="1" readingOrder="2"/>
    </xf>
    <xf numFmtId="0" fontId="0" fillId="0" borderId="0" xfId="6" applyFont="1" applyFill="1" applyBorder="1" applyAlignment="1" applyProtection="1">
      <alignment horizontal="center" vertical="center" readingOrder="2"/>
    </xf>
    <xf numFmtId="0" fontId="1" fillId="0" borderId="0" xfId="3" applyFill="1" applyBorder="1" applyAlignment="1">
      <alignment horizontal="right" vertical="center" wrapText="1" indent="2" readingOrder="2"/>
    </xf>
    <xf numFmtId="1" fontId="1" fillId="0" borderId="0" xfId="13" applyFill="1" applyBorder="1" applyAlignment="1" applyProtection="1">
      <alignment horizontal="center" vertical="center" readingOrder="2"/>
    </xf>
    <xf numFmtId="0" fontId="1" fillId="0" borderId="0" xfId="1" applyAlignment="1">
      <alignment horizontal="right" vertical="center" indent="1" readingOrder="2"/>
    </xf>
    <xf numFmtId="164" fontId="1" fillId="0" borderId="0" xfId="1" applyNumberFormat="1" applyAlignment="1">
      <alignment horizontal="center" vertical="center" readingOrder="2"/>
    </xf>
    <xf numFmtId="0" fontId="2" fillId="0" borderId="0" xfId="2" applyAlignment="1" applyProtection="1">
      <alignment horizontal="right" vertical="top" readingOrder="2"/>
    </xf>
    <xf numFmtId="0" fontId="6" fillId="0" borderId="0" xfId="1" applyFont="1" applyAlignment="1">
      <alignment horizontal="center" vertical="center" readingOrder="2"/>
    </xf>
    <xf numFmtId="0" fontId="5" fillId="5" borderId="0" xfId="12" applyProtection="1">
      <alignment horizontal="center" vertical="center" readingOrder="2"/>
    </xf>
    <xf numFmtId="0" fontId="1" fillId="5" borderId="0" xfId="6" applyAlignment="1" applyProtection="1">
      <alignment horizontal="right" vertical="center" readingOrder="2"/>
    </xf>
    <xf numFmtId="0" fontId="8" fillId="0" borderId="0" xfId="14" applyFont="1" applyAlignment="1" applyProtection="1">
      <alignment horizontal="center" vertical="center" readingOrder="2"/>
    </xf>
    <xf numFmtId="0" fontId="9" fillId="0" borderId="0" xfId="14" applyFont="1" applyAlignment="1" applyProtection="1">
      <alignment horizontal="center" vertical="center" readingOrder="2"/>
    </xf>
  </cellXfs>
  <cellStyles count="15">
    <cellStyle name="20% - Accent3 2" xfId="6" xr:uid="{911A89CE-112A-4BDE-B61E-AA610ABE0CBC}"/>
    <cellStyle name="40% - Accent2 2" xfId="7" xr:uid="{B63C3BA1-B2BD-4F57-96F5-E708B7684E43}"/>
    <cellStyle name="40% - Accent4 2" xfId="9" xr:uid="{91750838-A209-4134-96EE-6BC42C86000D}"/>
    <cellStyle name="40% - Accent5 2" xfId="10" xr:uid="{B0F697FA-EFC4-4399-BAC9-06D59FEFD21B}"/>
    <cellStyle name="40% - Accent6 2" xfId="5" xr:uid="{09C06AD5-ADB7-4542-B8FD-F7AEE7508891}"/>
    <cellStyle name="60% - Accent3 2" xfId="8" xr:uid="{F9CEDEA9-2AEB-47D3-9DC4-CD2E9C21A5E6}"/>
    <cellStyle name="Heading 2 2" xfId="12" xr:uid="{594B8E7A-A08C-41AF-BFE3-3B624D41B080}"/>
    <cellStyle name="Heading 3 2" xfId="4" xr:uid="{7D9E8376-4AA7-4511-81DF-6BD163A0B8CE}"/>
    <cellStyle name="Hyperlink" xfId="14" builtinId="8"/>
    <cellStyle name="Normal" xfId="0" builtinId="0"/>
    <cellStyle name="Normal 2" xfId="1" xr:uid="{2D0C0E69-DC92-49BB-B4C7-6E208673A7FF}"/>
    <cellStyle name="Title 2" xfId="2" xr:uid="{FA0F3835-9613-4226-B094-605042CBE0FD}"/>
    <cellStyle name="Total 2" xfId="13" xr:uid="{8E645B9C-EAF9-4B29-99D0-D0A4A7492142}"/>
    <cellStyle name="الموظف" xfId="3" xr:uid="{9355484B-3F6A-43FC-B157-E91FD96AFD2B}"/>
    <cellStyle name="تسمية" xfId="11" xr:uid="{FB025BD8-1093-4F9A-8CF1-D8EB25354B2C}"/>
  </cellStyles>
  <dxfs count="10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right" vertical="center" textRotation="0" wrapText="0" indent="2" justifyLastLine="0" shrinkToFit="0" readingOrder="2"/>
      <protection locked="1" hidden="0"/>
    </dxf>
    <dxf>
      <alignment horizontal="right" vertical="center" textRotation="0" wrapText="1" indent="2" justifyLastLine="0" shrinkToFit="0" readingOrder="2"/>
    </dxf>
    <dxf>
      <alignment horizontal="right" vertical="center" textRotation="0" wrapText="0" indent="2" justifyLastLine="0" shrinkToFit="0" readingOrder="2"/>
    </dxf>
    <dxf>
      <alignment horizontal="right" vertical="center" textRotation="0" wrapText="1" indent="2" justifyLastLine="0" shrinkToFit="0" readingOrder="2"/>
    </dxf>
    <dxf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1" formatCode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  <protection locked="1" hidden="0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border>
        <vertical/>
        <horizontal/>
      </border>
    </dxf>
    <dxf>
      <font>
        <b val="0"/>
        <i val="0"/>
        <color theme="3"/>
      </font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2"/>
      <border diagonalUp="0" diagonalDown="0" outline="0">
        <left/>
        <right/>
        <top/>
        <bottom/>
      </border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2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2"/>
    </dxf>
    <dxf>
      <protection locked="1" hidden="0"/>
    </dxf>
    <dxf>
      <protection locked="1" hidden="0"/>
    </dxf>
    <dxf>
      <protection locked="1" hidden="0"/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  <dxf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solid">
          <bgColor theme="6" tint="0.79998168889431442"/>
        </patternFill>
      </fill>
      <border diagonalUp="0" diagonalDown="0">
        <left/>
        <right/>
        <top style="thin">
          <color theme="0" tint="-0.14993743705557422"/>
        </top>
        <bottom style="medium">
          <color theme="2" tint="-0.499984740745262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1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13" defaultTableStyle="TableStyleMedium2" defaultPivotStyle="PivotStyleLight16">
    <tableStyle name="جدول غياب الموظفين" pivot="0" count="13" xr9:uid="{6D9E00D2-5370-40D1-B536-4BF11D35B723}">
      <tableStyleElement type="wholeTable" dxfId="1062"/>
      <tableStyleElement type="headerRow" dxfId="1061"/>
      <tableStyleElement type="totalRow" dxfId="1060"/>
      <tableStyleElement type="firstColumn" dxfId="1059"/>
      <tableStyleElement type="lastColumn" dxfId="1058"/>
      <tableStyleElement type="firstRowStripe" dxfId="1057"/>
      <tableStyleElement type="secondRowStripe" dxfId="1056"/>
      <tableStyleElement type="firstColumnStripe" dxfId="1055"/>
      <tableStyleElement type="secondColumnStripe" dxfId="1054"/>
      <tableStyleElement type="firstHeaderCell" dxfId="1053"/>
      <tableStyleElement type="lastHeaderCell" dxfId="1052"/>
      <tableStyleElement type="firstTotalCell" dxfId="1051"/>
      <tableStyleElement type="lastTotalCell" dxfId="1050"/>
    </tableStyle>
    <tableStyle name="جدول غياب الموظفين 10" pivot="0" count="13" xr9:uid="{BF85BB9D-C2A6-4077-BF76-F919B6453CBB}">
      <tableStyleElement type="wholeTable" dxfId="1049"/>
      <tableStyleElement type="headerRow" dxfId="1048"/>
      <tableStyleElement type="totalRow" dxfId="1047"/>
      <tableStyleElement type="firstColumn" dxfId="1046"/>
      <tableStyleElement type="lastColumn" dxfId="1045"/>
      <tableStyleElement type="firstRowStripe" dxfId="1044"/>
      <tableStyleElement type="secondRowStripe" dxfId="1043"/>
      <tableStyleElement type="firstColumnStripe" dxfId="1042"/>
      <tableStyleElement type="secondColumnStripe" dxfId="1041"/>
      <tableStyleElement type="firstHeaderCell" dxfId="1040"/>
      <tableStyleElement type="lastHeaderCell" dxfId="1039"/>
      <tableStyleElement type="firstTotalCell" dxfId="1038"/>
      <tableStyleElement type="lastTotalCell" dxfId="1037"/>
    </tableStyle>
    <tableStyle name="جدول غياب الموظفين 11" pivot="0" count="13" xr9:uid="{44D33C1F-8549-4BD8-97A0-4164E63442D1}">
      <tableStyleElement type="wholeTable" dxfId="1036"/>
      <tableStyleElement type="headerRow" dxfId="1035"/>
      <tableStyleElement type="totalRow" dxfId="1034"/>
      <tableStyleElement type="firstColumn" dxfId="1033"/>
      <tableStyleElement type="lastColumn" dxfId="1032"/>
      <tableStyleElement type="firstRowStripe" dxfId="1031"/>
      <tableStyleElement type="secondRowStripe" dxfId="1030"/>
      <tableStyleElement type="firstColumnStripe" dxfId="1029"/>
      <tableStyleElement type="secondColumnStripe" dxfId="1028"/>
      <tableStyleElement type="firstHeaderCell" dxfId="1027"/>
      <tableStyleElement type="lastHeaderCell" dxfId="1026"/>
      <tableStyleElement type="firstTotalCell" dxfId="1025"/>
      <tableStyleElement type="lastTotalCell" dxfId="1024"/>
    </tableStyle>
    <tableStyle name="جدول غياب الموظفين 12" pivot="0" count="13" xr9:uid="{4402066F-94CE-4505-9944-6FC6E053BC03}">
      <tableStyleElement type="wholeTable" dxfId="1023"/>
      <tableStyleElement type="headerRow" dxfId="1022"/>
      <tableStyleElement type="totalRow" dxfId="1021"/>
      <tableStyleElement type="firstColumn" dxfId="1020"/>
      <tableStyleElement type="lastColumn" dxfId="1019"/>
      <tableStyleElement type="firstRowStripe" dxfId="1018"/>
      <tableStyleElement type="secondRowStripe" dxfId="1017"/>
      <tableStyleElement type="firstColumnStripe" dxfId="1016"/>
      <tableStyleElement type="secondColumnStripe" dxfId="1015"/>
      <tableStyleElement type="firstHeaderCell" dxfId="1014"/>
      <tableStyleElement type="lastHeaderCell" dxfId="1013"/>
      <tableStyleElement type="firstTotalCell" dxfId="1012"/>
      <tableStyleElement type="lastTotalCell" dxfId="1011"/>
    </tableStyle>
    <tableStyle name="جدول غياب الموظفين 13" pivot="0" count="13" xr9:uid="{C481FF04-3909-4F9C-8560-BEB8FEC2727D}">
      <tableStyleElement type="wholeTable" dxfId="1010"/>
      <tableStyleElement type="headerRow" dxfId="1009"/>
      <tableStyleElement type="totalRow" dxfId="1008"/>
      <tableStyleElement type="firstColumn" dxfId="1007"/>
      <tableStyleElement type="lastColumn" dxfId="1006"/>
      <tableStyleElement type="firstRowStripe" dxfId="1005"/>
      <tableStyleElement type="secondRowStripe" dxfId="1004"/>
      <tableStyleElement type="firstColumnStripe" dxfId="1003"/>
      <tableStyleElement type="secondColumnStripe" dxfId="1002"/>
      <tableStyleElement type="firstHeaderCell" dxfId="1001"/>
      <tableStyleElement type="lastHeaderCell" dxfId="1000"/>
      <tableStyleElement type="firstTotalCell" dxfId="999"/>
      <tableStyleElement type="lastTotalCell" dxfId="998"/>
    </tableStyle>
    <tableStyle name="جدول غياب الموظفين 2" pivot="0" count="13" xr9:uid="{81809380-92A1-4B76-AEF5-FF3321AFAB8D}">
      <tableStyleElement type="wholeTable" dxfId="997"/>
      <tableStyleElement type="headerRow" dxfId="996"/>
      <tableStyleElement type="totalRow" dxfId="995"/>
      <tableStyleElement type="firstColumn" dxfId="994"/>
      <tableStyleElement type="lastColumn" dxfId="993"/>
      <tableStyleElement type="firstRowStripe" dxfId="992"/>
      <tableStyleElement type="secondRowStripe" dxfId="991"/>
      <tableStyleElement type="firstColumnStripe" dxfId="990"/>
      <tableStyleElement type="secondColumnStripe" dxfId="989"/>
      <tableStyleElement type="firstHeaderCell" dxfId="988"/>
      <tableStyleElement type="lastHeaderCell" dxfId="987"/>
      <tableStyleElement type="firstTotalCell" dxfId="986"/>
      <tableStyleElement type="lastTotalCell" dxfId="985"/>
    </tableStyle>
    <tableStyle name="جدول غياب الموظفين 3" pivot="0" count="13" xr9:uid="{BCC2526E-F5F5-4476-B046-CAEB3534A4FF}">
      <tableStyleElement type="wholeTable" dxfId="984"/>
      <tableStyleElement type="headerRow" dxfId="983"/>
      <tableStyleElement type="totalRow" dxfId="982"/>
      <tableStyleElement type="firstColumn" dxfId="981"/>
      <tableStyleElement type="lastColumn" dxfId="980"/>
      <tableStyleElement type="firstRowStripe" dxfId="979"/>
      <tableStyleElement type="secondRowStripe" dxfId="978"/>
      <tableStyleElement type="firstColumnStripe" dxfId="977"/>
      <tableStyleElement type="secondColumnStripe" dxfId="976"/>
      <tableStyleElement type="firstHeaderCell" dxfId="975"/>
      <tableStyleElement type="lastHeaderCell" dxfId="974"/>
      <tableStyleElement type="firstTotalCell" dxfId="973"/>
      <tableStyleElement type="lastTotalCell" dxfId="972"/>
    </tableStyle>
    <tableStyle name="جدول غياب الموظفين 4" pivot="0" count="13" xr9:uid="{E6074FF6-B191-4D08-9CB2-CE3EF4B3D235}">
      <tableStyleElement type="wholeTable" dxfId="971"/>
      <tableStyleElement type="headerRow" dxfId="970"/>
      <tableStyleElement type="totalRow" dxfId="969"/>
      <tableStyleElement type="firstColumn" dxfId="968"/>
      <tableStyleElement type="lastColumn" dxfId="967"/>
      <tableStyleElement type="firstRowStripe" dxfId="966"/>
      <tableStyleElement type="secondRowStripe" dxfId="965"/>
      <tableStyleElement type="firstColumnStripe" dxfId="964"/>
      <tableStyleElement type="secondColumnStripe" dxfId="963"/>
      <tableStyleElement type="firstHeaderCell" dxfId="962"/>
      <tableStyleElement type="lastHeaderCell" dxfId="961"/>
      <tableStyleElement type="firstTotalCell" dxfId="960"/>
      <tableStyleElement type="lastTotalCell" dxfId="959"/>
    </tableStyle>
    <tableStyle name="جدول غياب الموظفين 5" pivot="0" count="13" xr9:uid="{B66D80C4-B0A3-475F-A276-3EFCC15FA50B}">
      <tableStyleElement type="wholeTable" dxfId="958"/>
      <tableStyleElement type="headerRow" dxfId="957"/>
      <tableStyleElement type="totalRow" dxfId="956"/>
      <tableStyleElement type="firstColumn" dxfId="955"/>
      <tableStyleElement type="lastColumn" dxfId="954"/>
      <tableStyleElement type="firstRowStripe" dxfId="953"/>
      <tableStyleElement type="secondRowStripe" dxfId="952"/>
      <tableStyleElement type="firstColumnStripe" dxfId="951"/>
      <tableStyleElement type="secondColumnStripe" dxfId="950"/>
      <tableStyleElement type="firstHeaderCell" dxfId="949"/>
      <tableStyleElement type="lastHeaderCell" dxfId="948"/>
      <tableStyleElement type="firstTotalCell" dxfId="947"/>
      <tableStyleElement type="lastTotalCell" dxfId="946"/>
    </tableStyle>
    <tableStyle name="جدول غياب الموظفين 6" pivot="0" count="13" xr9:uid="{91ADA6A1-BF74-4633-9F24-A3E7A9F1C678}">
      <tableStyleElement type="wholeTable" dxfId="945"/>
      <tableStyleElement type="headerRow" dxfId="944"/>
      <tableStyleElement type="totalRow" dxfId="943"/>
      <tableStyleElement type="firstColumn" dxfId="942"/>
      <tableStyleElement type="lastColumn" dxfId="941"/>
      <tableStyleElement type="firstRowStripe" dxfId="940"/>
      <tableStyleElement type="secondRowStripe" dxfId="939"/>
      <tableStyleElement type="firstColumnStripe" dxfId="938"/>
      <tableStyleElement type="secondColumnStripe" dxfId="937"/>
      <tableStyleElement type="firstHeaderCell" dxfId="936"/>
      <tableStyleElement type="lastHeaderCell" dxfId="935"/>
      <tableStyleElement type="firstTotalCell" dxfId="934"/>
      <tableStyleElement type="lastTotalCell" dxfId="933"/>
    </tableStyle>
    <tableStyle name="جدول غياب الموظفين 7" pivot="0" count="13" xr9:uid="{4484C9BA-D9D7-48DF-9B09-BC418FCBDF43}">
      <tableStyleElement type="wholeTable" dxfId="932"/>
      <tableStyleElement type="headerRow" dxfId="931"/>
      <tableStyleElement type="totalRow" dxfId="930"/>
      <tableStyleElement type="firstColumn" dxfId="929"/>
      <tableStyleElement type="lastColumn" dxfId="928"/>
      <tableStyleElement type="firstRowStripe" dxfId="927"/>
      <tableStyleElement type="secondRowStripe" dxfId="926"/>
      <tableStyleElement type="firstColumnStripe" dxfId="925"/>
      <tableStyleElement type="secondColumnStripe" dxfId="924"/>
      <tableStyleElement type="firstHeaderCell" dxfId="923"/>
      <tableStyleElement type="lastHeaderCell" dxfId="922"/>
      <tableStyleElement type="firstTotalCell" dxfId="921"/>
      <tableStyleElement type="lastTotalCell" dxfId="920"/>
    </tableStyle>
    <tableStyle name="جدول غياب الموظفين 8" pivot="0" count="13" xr9:uid="{38F4F0DC-25B4-4FA8-BDF5-15221730C404}">
      <tableStyleElement type="wholeTable" dxfId="919"/>
      <tableStyleElement type="headerRow" dxfId="918"/>
      <tableStyleElement type="totalRow" dxfId="917"/>
      <tableStyleElement type="firstColumn" dxfId="916"/>
      <tableStyleElement type="lastColumn" dxfId="915"/>
      <tableStyleElement type="firstRowStripe" dxfId="914"/>
      <tableStyleElement type="secondRowStripe" dxfId="913"/>
      <tableStyleElement type="firstColumnStripe" dxfId="912"/>
      <tableStyleElement type="secondColumnStripe" dxfId="911"/>
      <tableStyleElement type="firstHeaderCell" dxfId="910"/>
      <tableStyleElement type="lastHeaderCell" dxfId="909"/>
      <tableStyleElement type="firstTotalCell" dxfId="908"/>
      <tableStyleElement type="lastTotalCell" dxfId="907"/>
    </tableStyle>
    <tableStyle name="جدول غياب الموظفين 9" pivot="0" count="13" xr9:uid="{13273C86-1393-44F5-9D15-E786EB8E3D05}">
      <tableStyleElement type="wholeTable" dxfId="906"/>
      <tableStyleElement type="headerRow" dxfId="905"/>
      <tableStyleElement type="totalRow" dxfId="904"/>
      <tableStyleElement type="firstColumn" dxfId="903"/>
      <tableStyleElement type="lastColumn" dxfId="902"/>
      <tableStyleElement type="firstRowStripe" dxfId="901"/>
      <tableStyleElement type="secondRowStripe" dxfId="900"/>
      <tableStyleElement type="firstColumnStripe" dxfId="899"/>
      <tableStyleElement type="secondColumnStripe" dxfId="898"/>
      <tableStyleElement type="firstHeaderCell" dxfId="897"/>
      <tableStyleElement type="lastHeaderCell" dxfId="896"/>
      <tableStyleElement type="firstTotalCell" dxfId="895"/>
      <tableStyleElement type="lastTotalCell" dxfId="8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3987167_win3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يناير"/>
      <sheetName val="فبراير"/>
      <sheetName val="مارس"/>
      <sheetName val="أبريل"/>
      <sheetName val="مايو"/>
      <sheetName val="يونيو"/>
      <sheetName val="يوليو"/>
      <sheetName val="أغسطس"/>
      <sheetName val="سبتمبر"/>
      <sheetName val="أكتوبر"/>
      <sheetName val="نوفمبر"/>
      <sheetName val="ديسمبر"/>
      <sheetName val="أسماء الموظفين"/>
      <sheetName val="سبتمبر (2)"/>
      <sheetName val="tf03987167_win321"/>
    </sheetNames>
    <sheetDataSet>
      <sheetData sheetId="0">
        <row r="1">
          <cell r="B1" t="str">
            <v>جدول غياب الموظفين</v>
          </cell>
        </row>
        <row r="2">
          <cell r="C2" t="str">
            <v>ع</v>
          </cell>
          <cell r="G2" t="str">
            <v>ش</v>
          </cell>
          <cell r="K2" t="str">
            <v>م</v>
          </cell>
        </row>
        <row r="4">
          <cell r="AH4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3F5983-7FAB-4F83-82D2-62C50BC06502}" name="يناير" displayName="يناير" ref="B6:AH12" totalsRowCount="1" headerRowDxfId="888" dataDxfId="887" totalsRowDxfId="886">
  <autoFilter ref="B6:AH1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4D88031-2B08-4CC3-906F-B9D763218EA2}" name="اسم الموظف" totalsRowFunction="custom" dataDxfId="885" totalsRowDxfId="884" dataCellStyle="الموظف">
      <totalsRowFormula>"إجمالي شهر "&amp;MonthName</totalsRowFormula>
    </tableColumn>
    <tableColumn id="2" xr3:uid="{1B26B6E5-9F4C-492E-A0B5-ECB989018BA0}" name="1" totalsRowFunction="custom" dataDxfId="883" totalsRowDxfId="882">
      <totalsRowFormula>SUBTOTAL(103,يناير!$C$7:$C$11)</totalsRowFormula>
    </tableColumn>
    <tableColumn id="3" xr3:uid="{307968AE-9E6F-4A73-AB05-06474E7D9E2B}" name="2" totalsRowFunction="custom" dataDxfId="881" totalsRowDxfId="880">
      <totalsRowFormula>SUBTOTAL(103,يناير!$D$7:$D$11)</totalsRowFormula>
    </tableColumn>
    <tableColumn id="4" xr3:uid="{07B3331D-457C-41F1-B090-2771FCC9FB29}" name="3" totalsRowFunction="custom" dataDxfId="879" totalsRowDxfId="878">
      <totalsRowFormula>SUBTOTAL(103,يناير!$E$7:$E$11)</totalsRowFormula>
    </tableColumn>
    <tableColumn id="5" xr3:uid="{C1CABDE5-0A8D-43B4-91ED-45F8337B6848}" name="4" totalsRowFunction="custom" dataDxfId="877" totalsRowDxfId="876">
      <totalsRowFormula>SUBTOTAL(103,يناير!$F$7:$F$11)</totalsRowFormula>
    </tableColumn>
    <tableColumn id="6" xr3:uid="{588B729D-369C-400B-9F96-75D858330881}" name="5" totalsRowFunction="custom" totalsRowDxfId="875">
      <totalsRowFormula>SUBTOTAL(103,يناير!$G$7:$G$11)</totalsRowFormula>
    </tableColumn>
    <tableColumn id="7" xr3:uid="{54C8DC4A-08F4-4375-B47B-5B606D386C0C}" name="6" totalsRowFunction="custom" dataDxfId="874" totalsRowDxfId="873">
      <totalsRowFormula>SUBTOTAL(103,يناير!$H$7:$H$11)</totalsRowFormula>
    </tableColumn>
    <tableColumn id="8" xr3:uid="{74E5427A-F225-49B8-82BF-E54820DADAC0}" name="7" totalsRowFunction="custom" dataDxfId="872" totalsRowDxfId="871">
      <totalsRowFormula>SUBTOTAL(103,يناير!$I$7:$I$11)</totalsRowFormula>
    </tableColumn>
    <tableColumn id="9" xr3:uid="{1E5D3A74-A6CE-41D4-A44F-05C3CFD3CC5B}" name="8" totalsRowFunction="custom" dataDxfId="870" totalsRowDxfId="869">
      <totalsRowFormula>SUBTOTAL(103,يناير!$J$7:$J$11)</totalsRowFormula>
    </tableColumn>
    <tableColumn id="10" xr3:uid="{8B7AC280-E4CD-4D3C-95B6-EC6C4E9FAD1D}" name="9" totalsRowFunction="custom" dataDxfId="868" totalsRowDxfId="867">
      <totalsRowFormula>SUBTOTAL(103,يناير!$K$7:$K$11)</totalsRowFormula>
    </tableColumn>
    <tableColumn id="11" xr3:uid="{BA677CB0-6D0E-4B02-A424-D495DCAD8222}" name="10" totalsRowFunction="custom" dataDxfId="866" totalsRowDxfId="865">
      <totalsRowFormula>SUBTOTAL(103,يناير!$L$7:$L$11)</totalsRowFormula>
    </tableColumn>
    <tableColumn id="12" xr3:uid="{6EFC905F-18AF-4B33-8F1B-C6A31B32FE24}" name="11" totalsRowFunction="custom" dataDxfId="864" totalsRowDxfId="863">
      <totalsRowFormula>SUBTOTAL(103,يناير!$M$7:$M$11)</totalsRowFormula>
    </tableColumn>
    <tableColumn id="13" xr3:uid="{7441DCD9-8471-4247-98AA-584E4CE6AC8D}" name="12" totalsRowFunction="custom" dataDxfId="862" totalsRowDxfId="861">
      <totalsRowFormula>SUBTOTAL(103,يناير!$N$7:$N$11)</totalsRowFormula>
    </tableColumn>
    <tableColumn id="14" xr3:uid="{7AB666DE-B42F-4D98-B8D2-9B0607FDCAF1}" name="13" totalsRowFunction="custom" dataDxfId="860" totalsRowDxfId="859">
      <totalsRowFormula>SUBTOTAL(103,يناير!$O$7:$O$11)</totalsRowFormula>
    </tableColumn>
    <tableColumn id="15" xr3:uid="{45AF7963-CB7A-4DE7-ACA3-8CB22629F2D9}" name="14" totalsRowFunction="custom" dataDxfId="858" totalsRowDxfId="857">
      <totalsRowFormula>SUBTOTAL(103,يناير!$P$7:$P$11)</totalsRowFormula>
    </tableColumn>
    <tableColumn id="16" xr3:uid="{76AC6470-31F2-4F01-84F5-D6827D60E7FC}" name="15" totalsRowFunction="custom" dataDxfId="856" totalsRowDxfId="855">
      <totalsRowFormula>SUBTOTAL(103,يناير!$Q$7:$Q$11)</totalsRowFormula>
    </tableColumn>
    <tableColumn id="17" xr3:uid="{64F3A6A2-EA52-447E-9362-069A01AF436B}" name="16" totalsRowFunction="custom" dataDxfId="854" totalsRowDxfId="853">
      <totalsRowFormula>SUBTOTAL(103,يناير!$R$7:$R$11)</totalsRowFormula>
    </tableColumn>
    <tableColumn id="18" xr3:uid="{AA504B22-986B-4D58-AD05-2FAF44924D93}" name="17" totalsRowFunction="custom" dataDxfId="852" totalsRowDxfId="851">
      <totalsRowFormula>SUBTOTAL(103,يناير!$S$7:$S$11)</totalsRowFormula>
    </tableColumn>
    <tableColumn id="19" xr3:uid="{02FBB62A-6AEE-4AE2-B19B-99408C8A7990}" name="18" totalsRowFunction="custom" dataDxfId="850" totalsRowDxfId="849">
      <totalsRowFormula>SUBTOTAL(103,يناير!$T$7:$T$11)</totalsRowFormula>
    </tableColumn>
    <tableColumn id="20" xr3:uid="{ECEF92B1-52D0-4160-9D43-ED5B1F8FCEDE}" name="19" totalsRowFunction="custom" dataDxfId="848" totalsRowDxfId="847">
      <totalsRowFormula>SUBTOTAL(103,يناير!$U$7:$U$11)</totalsRowFormula>
    </tableColumn>
    <tableColumn id="21" xr3:uid="{388FA7ED-E78B-4FF7-93B3-F5B0CDDF8953}" name="20" totalsRowFunction="custom" dataDxfId="846" totalsRowDxfId="845">
      <totalsRowFormula>SUBTOTAL(103,يناير!$V$7:$V$11)</totalsRowFormula>
    </tableColumn>
    <tableColumn id="22" xr3:uid="{CB51874A-9022-4095-8ACE-21183BAD5DE8}" name="21" totalsRowFunction="custom" dataDxfId="844" totalsRowDxfId="843">
      <totalsRowFormula>SUBTOTAL(103,يناير!$W$7:$W$11)</totalsRowFormula>
    </tableColumn>
    <tableColumn id="23" xr3:uid="{AD86042E-E575-4232-B362-1369DD229315}" name="22" totalsRowFunction="custom" dataDxfId="842" totalsRowDxfId="841">
      <totalsRowFormula>SUBTOTAL(103,يناير!$X$7:$X$11)</totalsRowFormula>
    </tableColumn>
    <tableColumn id="24" xr3:uid="{0ADE79AF-236C-44CE-BFC8-5CB92EB0A413}" name="23" totalsRowFunction="custom" dataDxfId="840" totalsRowDxfId="839">
      <totalsRowFormula>SUBTOTAL(103,يناير!$Y$7:$Y$11)</totalsRowFormula>
    </tableColumn>
    <tableColumn id="25" xr3:uid="{5C6D12F3-1152-4097-9968-1CC602731EF8}" name="24" totalsRowFunction="custom" dataDxfId="838" totalsRowDxfId="837">
      <totalsRowFormula>SUBTOTAL(103,يناير!$Z$7:$Z$11)</totalsRowFormula>
    </tableColumn>
    <tableColumn id="26" xr3:uid="{99D4CB88-5C29-4C26-9A09-F8B242062C90}" name="25" totalsRowFunction="custom" dataDxfId="836" totalsRowDxfId="835">
      <totalsRowFormula>SUBTOTAL(103,يناير!$AA$7:$AA$11)</totalsRowFormula>
    </tableColumn>
    <tableColumn id="27" xr3:uid="{05D25A71-EAC0-45E6-8D50-EC6B366FB77C}" name="26" totalsRowFunction="custom" dataDxfId="834" totalsRowDxfId="833">
      <totalsRowFormula>SUBTOTAL(103,يناير!$AB$7:$AB$11)</totalsRowFormula>
    </tableColumn>
    <tableColumn id="28" xr3:uid="{77825DD4-3502-41BF-8EDE-DF8B63BDA2C4}" name="27" totalsRowFunction="custom" dataDxfId="832" totalsRowDxfId="831">
      <totalsRowFormula>SUBTOTAL(103,يناير!$AC$7:$AC$11)</totalsRowFormula>
    </tableColumn>
    <tableColumn id="29" xr3:uid="{72B39E51-72BB-4296-AF0F-F2FD6F91FAFA}" name="28" totalsRowFunction="custom" dataDxfId="830" totalsRowDxfId="829">
      <totalsRowFormula>SUBTOTAL(103,يناير!$AD$7:$AD$11)</totalsRowFormula>
    </tableColumn>
    <tableColumn id="30" xr3:uid="{B5A0CA78-A436-40A9-870C-3DE597020D98}" name="29" totalsRowFunction="custom" dataDxfId="828" totalsRowDxfId="827">
      <totalsRowFormula>SUBTOTAL(103,يناير!$AE$7:$AE$11)</totalsRowFormula>
    </tableColumn>
    <tableColumn id="31" xr3:uid="{B9A83F96-A08C-4C2F-A5D1-03EC53418EED}" name="30" totalsRowFunction="custom" dataDxfId="826" totalsRowDxfId="825">
      <totalsRowFormula>SUBTOTAL(103,يناير!$AF$7:$AF$11)</totalsRowFormula>
    </tableColumn>
    <tableColumn id="32" xr3:uid="{7FCF4FF7-1F8B-45DE-BCC9-D0D0F2EF4906}" name="31" totalsRowFunction="custom" dataDxfId="824" totalsRowDxfId="823">
      <totalsRowFormula>SUBTOTAL(103,يناير!$AG$7:$AG$11)</totalsRowFormula>
    </tableColumn>
    <tableColumn id="33" xr3:uid="{8B852DD5-A0AC-4EC0-8589-9C20E0D1150A}" name="إجمالي الأيام" totalsRowFunction="sum" dataDxfId="822" totalsRowDxfId="821">
      <calculatedColumnFormula>COUNTA(يناير!$C7:$AG7)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426E2C0-5BC2-47CF-8483-120108F33729}" name="أكتوبر" displayName="أكتوبر" ref="B6:AH12" totalsRowCount="1" headerRowDxfId="221" dataDxfId="220" totalsRowDxfId="219">
  <tableColumns count="33">
    <tableColumn id="1" xr3:uid="{ADF1F128-1267-47CE-9F7D-C9A3883B5D29}" name="اسم الموظف" totalsRowFunction="custom" dataDxfId="218" totalsRowDxfId="217" dataCellStyle="الموظف">
      <totalsRowFormula>"إجمالي شهر "&amp;MonthName</totalsRowFormula>
    </tableColumn>
    <tableColumn id="2" xr3:uid="{5CE82D31-7B05-4E85-822B-895B96C06988}" name="1" totalsRowFunction="count" dataDxfId="216" totalsRowDxfId="215"/>
    <tableColumn id="3" xr3:uid="{A3200DFD-D092-4925-A508-9CC9F66E1A46}" name="2" totalsRowFunction="count" dataDxfId="214" totalsRowDxfId="213"/>
    <tableColumn id="4" xr3:uid="{FC964A14-AE03-457B-9748-C0478F4CD48B}" name="3" totalsRowFunction="count" dataDxfId="212" totalsRowDxfId="211"/>
    <tableColumn id="5" xr3:uid="{E4CD1467-BDED-45BC-89B8-C0467FD7FB01}" name="4" totalsRowFunction="count" dataDxfId="210" totalsRowDxfId="209"/>
    <tableColumn id="6" xr3:uid="{1B86DD5D-3037-4A1C-A52B-61ACD29251E4}" name="5" totalsRowFunction="count" dataDxfId="208" totalsRowDxfId="207"/>
    <tableColumn id="7" xr3:uid="{403BF9A1-A462-45F4-A78A-39D3FD88ECD2}" name="6" totalsRowFunction="count" dataDxfId="206" totalsRowDxfId="205"/>
    <tableColumn id="8" xr3:uid="{6BE1CDC0-4711-4999-A7A0-9BE8EE98EA18}" name="7" totalsRowFunction="count" dataDxfId="204" totalsRowDxfId="203"/>
    <tableColumn id="9" xr3:uid="{F97AA5EC-996E-4B36-A048-3BF41BC6B9AE}" name="8" totalsRowFunction="count" dataDxfId="202" totalsRowDxfId="201"/>
    <tableColumn id="10" xr3:uid="{9825E688-0625-437D-ACAC-CA3FB4042D36}" name="9" totalsRowFunction="count" dataDxfId="200" totalsRowDxfId="199"/>
    <tableColumn id="11" xr3:uid="{9697BDC2-FEFD-4306-B8E1-548E32CE3B3E}" name="10" totalsRowFunction="count" dataDxfId="198" totalsRowDxfId="197"/>
    <tableColumn id="12" xr3:uid="{90E39AD9-B77A-4CA5-B183-679B88828CD0}" name="11" totalsRowFunction="count" dataDxfId="196" totalsRowDxfId="195"/>
    <tableColumn id="13" xr3:uid="{FF0D9CC5-545F-41B8-87E2-AF648F5C3F9B}" name="12" totalsRowFunction="count" dataDxfId="194" totalsRowDxfId="193"/>
    <tableColumn id="14" xr3:uid="{A6FC1768-0727-4565-9CCF-1E27B13CC9B5}" name="13" totalsRowFunction="count" dataDxfId="192" totalsRowDxfId="191"/>
    <tableColumn id="15" xr3:uid="{3BD36960-4280-4652-90E9-6C7F629E6C3E}" name="14" totalsRowFunction="count" dataDxfId="190" totalsRowDxfId="189"/>
    <tableColumn id="16" xr3:uid="{5A546C54-B43F-42B0-A9D2-B03274DD24CD}" name="15" totalsRowFunction="count" dataDxfId="188" totalsRowDxfId="187"/>
    <tableColumn id="17" xr3:uid="{5E245B1D-E550-402E-8CFC-15386F28CFF0}" name="16" totalsRowFunction="count" dataDxfId="186" totalsRowDxfId="185"/>
    <tableColumn id="18" xr3:uid="{F505731D-2AF5-4E95-B6F9-B163D402A9B2}" name="17" totalsRowFunction="count" dataDxfId="184" totalsRowDxfId="183"/>
    <tableColumn id="19" xr3:uid="{71E18581-AA43-4385-8FFD-4ABCA8BDA41E}" name="18" totalsRowFunction="count" dataDxfId="182" totalsRowDxfId="181"/>
    <tableColumn id="20" xr3:uid="{99B4D49B-B64E-49C2-B7B8-637A23073759}" name="19" totalsRowFunction="count" dataDxfId="180" totalsRowDxfId="179"/>
    <tableColumn id="21" xr3:uid="{205CFAD8-3B5B-40E1-9C74-A2FF3E078346}" name="20" totalsRowFunction="count" dataDxfId="178" totalsRowDxfId="177"/>
    <tableColumn id="22" xr3:uid="{B5E7F80F-7D96-4112-BF93-423F800C1673}" name="21" totalsRowFunction="count" dataDxfId="176" totalsRowDxfId="175"/>
    <tableColumn id="23" xr3:uid="{DB151224-E743-4596-A982-2561C7841CE5}" name="22" totalsRowFunction="count" dataDxfId="174" totalsRowDxfId="173"/>
    <tableColumn id="24" xr3:uid="{26D96B64-9648-4942-B1E5-0F90B61E53C4}" name="23" totalsRowFunction="count" dataDxfId="172" totalsRowDxfId="171"/>
    <tableColumn id="25" xr3:uid="{8550670E-68AD-4B6A-9CBF-2A06D281D3F9}" name="24" totalsRowFunction="count" dataDxfId="170" totalsRowDxfId="169"/>
    <tableColumn id="26" xr3:uid="{1DADBC07-06EC-4E48-94F1-119B22F66A7C}" name="25" totalsRowFunction="count" dataDxfId="168" totalsRowDxfId="167"/>
    <tableColumn id="27" xr3:uid="{9AE6E438-63EF-47BF-8D8B-2B1D6EC7C7B7}" name="26" totalsRowFunction="count" dataDxfId="166" totalsRowDxfId="165"/>
    <tableColumn id="28" xr3:uid="{4E9870C9-DE1C-4EC3-9B9C-35FD74A4C194}" name="27" totalsRowFunction="count" dataDxfId="164" totalsRowDxfId="163"/>
    <tableColumn id="29" xr3:uid="{3BCE00BF-A50C-477E-B6E2-67C52D1CFBDB}" name="28" totalsRowFunction="count" dataDxfId="162" totalsRowDxfId="161"/>
    <tableColumn id="30" xr3:uid="{BDF97202-C961-49F8-B7FA-1D0FF83626DA}" name="29" totalsRowFunction="count" dataDxfId="160" totalsRowDxfId="159"/>
    <tableColumn id="31" xr3:uid="{3B0DDACF-271B-418A-88D7-C4723203C0BF}" name="30" totalsRowFunction="count" dataDxfId="158" totalsRowDxfId="157"/>
    <tableColumn id="32" xr3:uid="{AAC64BE0-D8AB-4571-98A4-4B39574A9B85}" name="31" totalsRowFunction="count" dataDxfId="156" totalsRowDxfId="155"/>
    <tableColumn id="33" xr3:uid="{2B1741B9-55C2-4141-A3D6-7E8023621C35}" name="إجمالي الأيام" totalsRowFunction="sum" dataDxfId="154" totalsRowDxfId="153">
      <calculatedColumnFormula>COUNTA(أكتوبر[[#This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8A49EF-8420-4E5F-8F50-1F62991A2621}" name="نوفمبر" displayName="نوفمبر" ref="B6:AH12" totalsRowCount="1" headerRowDxfId="147" dataDxfId="146" totalsRowDxfId="145">
  <tableColumns count="33">
    <tableColumn id="1" xr3:uid="{C6CC5170-DE2A-46B8-95A4-D1B10EA14713}" name="اسم الموظف" totalsRowFunction="custom" dataDxfId="144" totalsRowDxfId="143" dataCellStyle="الموظف">
      <totalsRowFormula>"إجمالي شهر "&amp;MonthName</totalsRowFormula>
    </tableColumn>
    <tableColumn id="2" xr3:uid="{3E260117-C4AC-4B2F-A948-8724E3C4E83A}" name="1" totalsRowFunction="count" dataDxfId="142" totalsRowDxfId="141"/>
    <tableColumn id="3" xr3:uid="{D3EBE9E6-6D0C-4F73-98E1-C19430AA7DFA}" name="2" totalsRowFunction="count" dataDxfId="140" totalsRowDxfId="139"/>
    <tableColumn id="4" xr3:uid="{E5FAA25F-5BA6-4B61-88B1-3C8EC8539155}" name="3" totalsRowFunction="count" dataDxfId="138" totalsRowDxfId="137"/>
    <tableColumn id="5" xr3:uid="{2B49B36F-3506-4CE9-ABDD-7BDED7F81109}" name="4" totalsRowFunction="count" dataDxfId="136" totalsRowDxfId="135"/>
    <tableColumn id="6" xr3:uid="{A59AB051-52F7-4DF4-AAE6-2A27C80260B2}" name="5" totalsRowFunction="count" dataDxfId="134" totalsRowDxfId="133"/>
    <tableColumn id="7" xr3:uid="{1BF7C173-F472-4B42-B1E6-72911D48116E}" name="6" totalsRowFunction="count" dataDxfId="132" totalsRowDxfId="131"/>
    <tableColumn id="8" xr3:uid="{099CFD91-D824-42E6-A30F-8781018C597D}" name="7" totalsRowFunction="count" dataDxfId="130" totalsRowDxfId="129"/>
    <tableColumn id="9" xr3:uid="{0A92B477-AA95-4EE4-952D-D34A3DC0512E}" name="8" totalsRowFunction="count" dataDxfId="128" totalsRowDxfId="127"/>
    <tableColumn id="10" xr3:uid="{C5F2C0BB-05F7-4D1E-94C0-1294AE597F1D}" name="9" totalsRowFunction="count" dataDxfId="126" totalsRowDxfId="125"/>
    <tableColumn id="11" xr3:uid="{8129E53D-4CB0-4C02-934C-1AF046CFE426}" name="10" totalsRowFunction="count" dataDxfId="124" totalsRowDxfId="123"/>
    <tableColumn id="12" xr3:uid="{47FC17DF-DFEB-405A-8794-F822D7419DD9}" name="11" totalsRowFunction="count" dataDxfId="122" totalsRowDxfId="121"/>
    <tableColumn id="13" xr3:uid="{4463623C-DD09-4E9F-A978-538B347C9D37}" name="12" totalsRowFunction="count" dataDxfId="120" totalsRowDxfId="119"/>
    <tableColumn id="14" xr3:uid="{9FA3E842-AD0A-4755-A0E8-93F81E210774}" name="13" totalsRowFunction="count" dataDxfId="118" totalsRowDxfId="117"/>
    <tableColumn id="15" xr3:uid="{BB45F0F5-18DD-482E-9BE7-9EF12E49B823}" name="14" totalsRowFunction="count" dataDxfId="116" totalsRowDxfId="115"/>
    <tableColumn id="16" xr3:uid="{DFE63564-F470-4D2D-9262-EB53061AADC1}" name="15" totalsRowFunction="count" dataDxfId="114" totalsRowDxfId="113"/>
    <tableColumn id="17" xr3:uid="{94894D7C-6ED7-4E23-A4C1-E462D26154B2}" name="16" totalsRowFunction="count" dataDxfId="112" totalsRowDxfId="111"/>
    <tableColumn id="18" xr3:uid="{C062DCCC-4E76-4B27-BB64-D7B65D2F80C9}" name="17" totalsRowFunction="count" dataDxfId="110" totalsRowDxfId="109"/>
    <tableColumn id="19" xr3:uid="{7A6829B7-1478-4760-8B53-357E62FD5198}" name="18" totalsRowFunction="count" dataDxfId="108" totalsRowDxfId="107"/>
    <tableColumn id="20" xr3:uid="{B4C7D3EE-8578-4411-BA8E-4026A0DB1BB2}" name="19" totalsRowFunction="count" dataDxfId="106" totalsRowDxfId="105"/>
    <tableColumn id="21" xr3:uid="{B40DBC64-8D49-4290-B6FA-F7A35ABACBC7}" name="20" totalsRowFunction="count" dataDxfId="104" totalsRowDxfId="103"/>
    <tableColumn id="22" xr3:uid="{3F8026B2-956A-4A0F-B21B-FD1D30D40F9D}" name="21" totalsRowFunction="count" dataDxfId="102" totalsRowDxfId="101"/>
    <tableColumn id="23" xr3:uid="{CBD59B2A-DBC8-4C5C-AF06-E2CB3A68D516}" name="22" totalsRowFunction="count" dataDxfId="100" totalsRowDxfId="99"/>
    <tableColumn id="24" xr3:uid="{6A2873DF-5BCA-4C79-9926-566EF8189C8B}" name="23" totalsRowFunction="count" dataDxfId="98" totalsRowDxfId="97"/>
    <tableColumn id="25" xr3:uid="{7D1E9537-0F8F-4A65-8F3C-FFB30A050C6F}" name="24" totalsRowFunction="count" dataDxfId="96" totalsRowDxfId="95"/>
    <tableColumn id="26" xr3:uid="{7B71199E-1F10-4B86-8E25-B78EDBE9A0C4}" name="25" totalsRowFunction="count" dataDxfId="94" totalsRowDxfId="93"/>
    <tableColumn id="27" xr3:uid="{5CCE1528-5335-4783-B556-4A824573D1B1}" name="26" totalsRowFunction="count" dataDxfId="92" totalsRowDxfId="91"/>
    <tableColumn id="28" xr3:uid="{A9F809C8-7002-4183-BE48-B9A70270FEFF}" name="27" totalsRowFunction="count" dataDxfId="90" totalsRowDxfId="89"/>
    <tableColumn id="29" xr3:uid="{C44CF853-C774-4C77-BABA-1D80C6A9DA19}" name="28" totalsRowFunction="count" dataDxfId="88" totalsRowDxfId="87"/>
    <tableColumn id="30" xr3:uid="{FFEA8CEF-8ED2-4C09-933E-6B4945223822}" name="29" totalsRowFunction="count" dataDxfId="86" totalsRowDxfId="85"/>
    <tableColumn id="31" xr3:uid="{92CDD749-A851-4E51-A35E-A95605B1419C}" name="30" totalsRowFunction="count" dataDxfId="84" totalsRowDxfId="83"/>
    <tableColumn id="32" xr3:uid="{CC7FE393-38CC-459F-806C-F96211043952}" name=" " totalsRowFunction="count" dataDxfId="82" totalsRowDxfId="81"/>
    <tableColumn id="33" xr3:uid="{BC6C7F51-E692-4EE6-B784-0EDE046F1E59}" name="إجمالي الأيام" totalsRowFunction="sum" dataDxfId="80" totalsRowDxfId="79">
      <calculatedColumnFormula>COUNTA(نوفمبر[[#This Row],[1]:[30]])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E2482F-6817-49BC-88C6-AB838D3D1B04}" name="ديسمبر" displayName="ديسمبر" ref="B6:AH12" totalsRowCount="1" headerRowDxfId="73" dataDxfId="72" totalsRowDxfId="71">
  <tableColumns count="33">
    <tableColumn id="1" xr3:uid="{74F55EDC-F63C-4CC3-89FD-90B1B86DF0C3}" name="اسم الموظف" totalsRowFunction="custom" dataDxfId="70" totalsRowDxfId="69" dataCellStyle="الموظف">
      <totalsRowFormula>"إجمالي شهر "&amp;MonthName</totalsRowFormula>
    </tableColumn>
    <tableColumn id="2" xr3:uid="{950EBF42-54B2-4DBA-870D-C3B0A27A5F88}" name="1" totalsRowFunction="count" dataDxfId="68" totalsRowDxfId="67"/>
    <tableColumn id="3" xr3:uid="{9D7F81A6-824F-4F26-880E-19C6553F4C3C}" name="2" totalsRowFunction="count" dataDxfId="66" totalsRowDxfId="65"/>
    <tableColumn id="4" xr3:uid="{1A9E7680-3D15-4545-B60C-9D5A44F91ADC}" name="3" totalsRowFunction="count" dataDxfId="64" totalsRowDxfId="63"/>
    <tableColumn id="5" xr3:uid="{AFE55B24-433E-4C90-9464-61BC9C0A2106}" name="4" totalsRowFunction="count" dataDxfId="62" totalsRowDxfId="61"/>
    <tableColumn id="6" xr3:uid="{C976A948-430F-411C-B83E-43544F10D9F7}" name="5" totalsRowFunction="count" dataDxfId="60" totalsRowDxfId="59"/>
    <tableColumn id="7" xr3:uid="{676035B5-0580-4272-903F-64CF220AD79F}" name="6" totalsRowFunction="count" dataDxfId="58" totalsRowDxfId="57"/>
    <tableColumn id="8" xr3:uid="{7DDEE0BC-0460-4DB5-B769-BC92601D81E1}" name="7" totalsRowFunction="count" dataDxfId="56" totalsRowDxfId="55"/>
    <tableColumn id="9" xr3:uid="{82C3B166-EFC5-43EC-ABC1-7F08A496E8C7}" name="8" totalsRowFunction="count" dataDxfId="54" totalsRowDxfId="53"/>
    <tableColumn id="10" xr3:uid="{9DF3B6BA-13DC-444C-976D-85CA54E9C925}" name="9" totalsRowFunction="count" dataDxfId="52" totalsRowDxfId="51"/>
    <tableColumn id="11" xr3:uid="{87840FF2-97D5-4887-8C7E-16274E574DC2}" name="10" totalsRowFunction="count" dataDxfId="50" totalsRowDxfId="49"/>
    <tableColumn id="12" xr3:uid="{73A3C451-03FE-41EC-91DB-B3FC1615F5C7}" name="11" totalsRowFunction="count" dataDxfId="48" totalsRowDxfId="47"/>
    <tableColumn id="13" xr3:uid="{85AB3B19-CBC8-4EE4-A33A-1F0E82A7F8B0}" name="12" totalsRowFunction="count" dataDxfId="46" totalsRowDxfId="45"/>
    <tableColumn id="14" xr3:uid="{0C885F65-C0F9-4AFC-B062-576A8E94A726}" name="13" totalsRowFunction="count" dataDxfId="44" totalsRowDxfId="43"/>
    <tableColumn id="15" xr3:uid="{C41F8A3A-864E-4FE8-8FF4-83C5FF880AE1}" name="14" totalsRowFunction="count" dataDxfId="42" totalsRowDxfId="41"/>
    <tableColumn id="16" xr3:uid="{60B6659E-1900-4E72-B918-4F1FAD76B4A8}" name="15" totalsRowFunction="count" dataDxfId="40" totalsRowDxfId="39"/>
    <tableColumn id="17" xr3:uid="{AE3AA204-B9DC-4F86-B3D0-0023698F3FE7}" name="16" totalsRowFunction="count" dataDxfId="38" totalsRowDxfId="37"/>
    <tableColumn id="18" xr3:uid="{4D6AC624-B12B-425F-9499-401BDB6CD461}" name="17" totalsRowFunction="count" dataDxfId="36" totalsRowDxfId="35"/>
    <tableColumn id="19" xr3:uid="{13A52EC2-BF1A-43A8-8745-4B896AD19F1C}" name="18" totalsRowFunction="count" dataDxfId="34" totalsRowDxfId="33"/>
    <tableColumn id="20" xr3:uid="{C8CF851D-18EE-4154-B81A-D86D01AC97EF}" name="19" totalsRowFunction="count" dataDxfId="32" totalsRowDxfId="31"/>
    <tableColumn id="21" xr3:uid="{580A3B3C-82B1-4361-9F03-76A081942000}" name="20" totalsRowFunction="count" dataDxfId="30" totalsRowDxfId="29"/>
    <tableColumn id="22" xr3:uid="{AA26A288-CB7B-42BB-AB3E-75D689814747}" name="21" totalsRowFunction="count" dataDxfId="28" totalsRowDxfId="27"/>
    <tableColumn id="23" xr3:uid="{C82E8F36-4517-4DC1-B870-015E717C46AB}" name="22" totalsRowFunction="count" dataDxfId="26" totalsRowDxfId="25"/>
    <tableColumn id="24" xr3:uid="{8C35D6FF-CE9C-4B95-B6E3-268780C43663}" name="23" totalsRowFunction="count" dataDxfId="24" totalsRowDxfId="23"/>
    <tableColumn id="25" xr3:uid="{4E10CFB9-2440-4980-918C-293D1B4EBFC5}" name="24" totalsRowFunction="count" dataDxfId="22" totalsRowDxfId="21"/>
    <tableColumn id="26" xr3:uid="{A2B5EFD9-C389-4C51-AC77-A6017469FC8F}" name="25" totalsRowFunction="count" dataDxfId="20" totalsRowDxfId="19"/>
    <tableColumn id="27" xr3:uid="{51D44F65-A914-44D0-BE4B-E61531221DE4}" name="26" totalsRowFunction="count" dataDxfId="18" totalsRowDxfId="17"/>
    <tableColumn id="28" xr3:uid="{6D80E3E1-9F3E-41F9-A7A1-5A24FEB5A771}" name="27" totalsRowFunction="count" dataDxfId="16" totalsRowDxfId="15"/>
    <tableColumn id="29" xr3:uid="{2792608D-C93F-4764-BA16-5A2276452CBA}" name="28" totalsRowFunction="count" dataDxfId="14" totalsRowDxfId="13"/>
    <tableColumn id="30" xr3:uid="{D314B4DF-8827-47DA-9635-E061AA0D068B}" name="29" totalsRowFunction="count" dataDxfId="12" totalsRowDxfId="11"/>
    <tableColumn id="31" xr3:uid="{CCF05E8F-B864-4C18-9634-A712DC1331F6}" name="30" totalsRowFunction="count" dataDxfId="10" totalsRowDxfId="9"/>
    <tableColumn id="32" xr3:uid="{0A083881-ED50-4030-A2CA-46A26E40C52A}" name="31" totalsRowFunction="count" dataDxfId="8" totalsRowDxfId="7"/>
    <tableColumn id="33" xr3:uid="{84BCE282-2B03-4641-B76D-01E77D2BA7D2}" name="إجمالي الأيام" totalsRowFunction="sum" dataDxfId="6" totalsRowDxfId="5">
      <calculatedColumnFormula>COUNTA(ديسمبر[[#This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يوفر قائمة بأسماء وتواريخ التقويم لتسجيل غياب الموظفين ونوع الغياب المحدد، مثل ع = غياب لقضاء عطلة، م = غياب مرضي، ش = غياب لأسباب شخصية والعنصران النائبان هما لإدخالات مخصصة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8BA1D-5637-49FE-89F2-753337438588}" name="اسم_الموظف" displayName="اسم_الموظف" ref="B3:B8" headerRowDxfId="4" dataDxfId="3" totalsRowDxfId="2" dataCellStyle="الموظف">
  <autoFilter ref="B3:B8" xr:uid="{00000000-0009-0000-0100-00000D000000}"/>
  <tableColumns count="1">
    <tableColumn id="1" xr3:uid="{07EAE84E-BA37-49CE-9571-A8AC8A62117A}" name="أسماء الموظفين" totalsRowFunction="count" dataDxfId="1" totalsRowDxfId="0" dataCellStyle="الموظف"/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في هذا الجدول. يتم استخدام هذه الأسماء كخيارات في العمود B لكل جدول غياب في الشهر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C53D51-C976-4D3C-B436-9050CABE47A3}" name="فبراير" displayName="فبراير" ref="B6:AH12" totalsRowCount="1" headerRowDxfId="813" dataDxfId="812" totalsRowDxfId="811">
  <tableColumns count="33">
    <tableColumn id="1" xr3:uid="{AD42876D-59ED-4E0F-A609-0F5C41938C76}" name="اسم الموظف" totalsRowFunction="custom" dataDxfId="810" totalsRowDxfId="809" dataCellStyle="الموظف">
      <totalsRowFormula>"إجمالي شهر "&amp;MonthName</totalsRowFormula>
    </tableColumn>
    <tableColumn id="2" xr3:uid="{459AA78B-5079-4C30-BCD1-8B342CC262BC}" name="1" totalsRowFunction="count" dataDxfId="808" totalsRowDxfId="807"/>
    <tableColumn id="3" xr3:uid="{5AA8F9C7-6B4D-4A83-94DB-D3BDD8533977}" name="2" totalsRowFunction="count" dataDxfId="806" totalsRowDxfId="805"/>
    <tableColumn id="4" xr3:uid="{44DDF039-C172-4C91-9B25-15FA8DDF8AF7}" name="3" totalsRowFunction="count" dataDxfId="804" totalsRowDxfId="803"/>
    <tableColumn id="5" xr3:uid="{89507A47-FD4D-4E62-AC4A-AD3E320C0A68}" name="4" totalsRowFunction="count" dataDxfId="802" totalsRowDxfId="801"/>
    <tableColumn id="6" xr3:uid="{A4729637-674E-4086-942C-DF6205BBB001}" name="5" totalsRowFunction="count" dataDxfId="800" totalsRowDxfId="799"/>
    <tableColumn id="7" xr3:uid="{13FA96B8-EEB1-449F-A3CC-C0D9D4B26C0A}" name="6" totalsRowFunction="count" dataDxfId="798" totalsRowDxfId="797"/>
    <tableColumn id="8" xr3:uid="{B35A6919-EAF4-4CB0-A295-F221523A90A4}" name="7" totalsRowFunction="count" dataDxfId="796" totalsRowDxfId="795"/>
    <tableColumn id="9" xr3:uid="{77C56889-7D81-40BC-AAD0-3548AD2F8B5E}" name="8" totalsRowFunction="count" dataDxfId="794" totalsRowDxfId="793"/>
    <tableColumn id="10" xr3:uid="{0914A73F-F8F9-4E99-9B34-E740BBA061A2}" name="9" totalsRowFunction="count" dataDxfId="792" totalsRowDxfId="791"/>
    <tableColumn id="11" xr3:uid="{3EBAEFDA-BBD0-4F37-9DF0-DC6FFA2266AA}" name="10" totalsRowFunction="count" dataDxfId="790" totalsRowDxfId="789"/>
    <tableColumn id="12" xr3:uid="{0970E20F-13CB-4AE2-A986-EFE2F48EB7F1}" name="11" totalsRowFunction="count" dataDxfId="788" totalsRowDxfId="787"/>
    <tableColumn id="13" xr3:uid="{6BC62C5D-E9A0-4E98-939F-4577DA8B85A9}" name="12" totalsRowFunction="count" dataDxfId="786" totalsRowDxfId="785"/>
    <tableColumn id="14" xr3:uid="{CB676A02-1399-416A-BAEE-9A60F68FED7B}" name="13" totalsRowFunction="count" dataDxfId="784" totalsRowDxfId="783"/>
    <tableColumn id="15" xr3:uid="{BF1A3382-B0D1-40D2-A5F1-712398E16654}" name="14" totalsRowFunction="count" dataDxfId="782" totalsRowDxfId="781"/>
    <tableColumn id="16" xr3:uid="{C2F4B474-E33B-4697-9F75-06FD5564EC21}" name="15" totalsRowFunction="count" dataDxfId="780" totalsRowDxfId="779"/>
    <tableColumn id="17" xr3:uid="{B5C86C20-342B-4B88-B0A1-6796A0EC0178}" name="16" totalsRowFunction="count" dataDxfId="778" totalsRowDxfId="777"/>
    <tableColumn id="18" xr3:uid="{F7185AF7-6944-4DE7-93EA-1A9EC10AA420}" name="17" totalsRowFunction="count" dataDxfId="776" totalsRowDxfId="775"/>
    <tableColumn id="19" xr3:uid="{BA0112A3-7090-4FF2-96E2-9D1B44625BB3}" name="18" totalsRowFunction="count" dataDxfId="774" totalsRowDxfId="773"/>
    <tableColumn id="20" xr3:uid="{C8C92EA9-E836-4635-A689-5327B2ECE69F}" name="19" totalsRowFunction="count" dataDxfId="772" totalsRowDxfId="771"/>
    <tableColumn id="21" xr3:uid="{58583CDD-09DB-4A73-A212-8D5519C3A3E2}" name="20" totalsRowFunction="count" dataDxfId="770" totalsRowDxfId="769"/>
    <tableColumn id="22" xr3:uid="{CE193CB9-F3E0-4713-9F14-8A771431A6D2}" name="21" totalsRowFunction="count" dataDxfId="768" totalsRowDxfId="767"/>
    <tableColumn id="23" xr3:uid="{2971DDCC-0027-4368-B8B7-7F419047AD0A}" name="22" totalsRowFunction="count" dataDxfId="766" totalsRowDxfId="765"/>
    <tableColumn id="24" xr3:uid="{D71A4451-651C-42F3-B110-6EEEC6878F4E}" name="23" totalsRowFunction="count" dataDxfId="764" totalsRowDxfId="763"/>
    <tableColumn id="25" xr3:uid="{C08956D3-DB2C-463A-A8B1-28ADD87C568C}" name="24" totalsRowFunction="count" dataDxfId="762" totalsRowDxfId="761"/>
    <tableColumn id="26" xr3:uid="{B5422510-DFED-4732-8C2E-28A2A5C0555E}" name="25" totalsRowFunction="count" dataDxfId="760" totalsRowDxfId="759"/>
    <tableColumn id="27" xr3:uid="{925D9C46-FE35-47FC-A020-8949B9009AE3}" name="26" totalsRowFunction="count" dataDxfId="758" totalsRowDxfId="757"/>
    <tableColumn id="28" xr3:uid="{A358F24E-2BEA-457E-BA26-BA29D5DA179D}" name="27" totalsRowFunction="count" dataDxfId="756" totalsRowDxfId="755"/>
    <tableColumn id="29" xr3:uid="{B6B5EED9-416D-4AAE-906A-0563601147C1}" name="28" totalsRowFunction="count" dataDxfId="754" totalsRowDxfId="753"/>
    <tableColumn id="30" xr3:uid="{400F9FAE-36CA-431C-B953-C82746D2B439}" name="29" totalsRowFunction="count" dataDxfId="752" totalsRowDxfId="751"/>
    <tableColumn id="31" xr3:uid="{D48E2B2E-2631-45D4-B675-0A6477B2DA6C}" name=" " dataDxfId="750" totalsRowDxfId="749"/>
    <tableColumn id="32" xr3:uid="{FEDFF01B-EB9F-4ACF-B468-CB94F98CCB94}" name="  " dataDxfId="748" totalsRowDxfId="747"/>
    <tableColumn id="33" xr3:uid="{35F61AE7-EF51-4595-87A5-3493F7DE9A4F}" name="إجمالي الأيام" totalsRowFunction="sum" dataDxfId="746" totalsRowDxfId="745">
      <calculatedColumnFormula>COUNTA(فبراير[[#This Row],[1]:[29]])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000827-349B-472D-8FFA-4C6D7E13BBE0}" name="مارس" displayName="مارس" ref="B6:AH12" totalsRowCount="1" headerRowDxfId="739" dataDxfId="738" totalsRowDxfId="737">
  <tableColumns count="33">
    <tableColumn id="1" xr3:uid="{BAB55A71-6B18-4698-BF02-3BD081E53A80}" name="اسم الموظف" totalsRowFunction="custom" dataDxfId="736" totalsRowDxfId="735" dataCellStyle="الموظف">
      <totalsRowFormula>"إجمالي شهر "&amp;MonthName</totalsRowFormula>
    </tableColumn>
    <tableColumn id="2" xr3:uid="{108192BA-69B6-4F31-B7E0-89741391AEF1}" name="1" totalsRowFunction="count" dataDxfId="734" totalsRowDxfId="733"/>
    <tableColumn id="3" xr3:uid="{A0365E45-3C8D-4A7C-992B-1DB9DC1BC858}" name="2" totalsRowFunction="count" dataDxfId="732" totalsRowDxfId="731"/>
    <tableColumn id="4" xr3:uid="{5DFCE1AE-E9E5-4AEF-B543-BFC48826B595}" name="3" totalsRowFunction="count" dataDxfId="730" totalsRowDxfId="729"/>
    <tableColumn id="5" xr3:uid="{E93736EA-3851-43FD-81A6-285C1C02B17F}" name="4" totalsRowFunction="count" dataDxfId="728" totalsRowDxfId="727"/>
    <tableColumn id="6" xr3:uid="{A6E5F0EB-1D50-46F3-B3AC-E92AF1C52602}" name="5" totalsRowFunction="count" dataDxfId="726" totalsRowDxfId="725"/>
    <tableColumn id="7" xr3:uid="{B42C87E4-6FC4-4ABD-A52E-D79EEBA786A3}" name="6" totalsRowFunction="count" dataDxfId="724" totalsRowDxfId="723"/>
    <tableColumn id="8" xr3:uid="{F51DB354-E947-4A49-9DF4-173B432865B8}" name="7" totalsRowFunction="count" dataDxfId="722" totalsRowDxfId="721"/>
    <tableColumn id="9" xr3:uid="{3ABE1AC3-4D71-4724-AEB6-CA0EB304B1BA}" name="8" totalsRowFunction="count" dataDxfId="720" totalsRowDxfId="719"/>
    <tableColumn id="10" xr3:uid="{03BF0834-4ADE-4D73-A2D8-73DC42D7BC60}" name="9" totalsRowFunction="count" dataDxfId="718" totalsRowDxfId="717"/>
    <tableColumn id="11" xr3:uid="{894FD60C-948B-4F8D-BBF1-6CBCF08CB371}" name="10" totalsRowFunction="count" dataDxfId="716" totalsRowDxfId="715"/>
    <tableColumn id="12" xr3:uid="{3BF9C73A-4334-4933-99DD-1DDE5E60ED5A}" name="11" totalsRowFunction="count" dataDxfId="714" totalsRowDxfId="713"/>
    <tableColumn id="13" xr3:uid="{E9EB1024-1922-4FF5-ADCD-A2ACB372B8DA}" name="12" totalsRowFunction="count" dataDxfId="712" totalsRowDxfId="711"/>
    <tableColumn id="14" xr3:uid="{140E1CE1-A7EE-48DE-95A5-4284A4924398}" name="13" totalsRowFunction="count" dataDxfId="710" totalsRowDxfId="709"/>
    <tableColumn id="15" xr3:uid="{A42B0B55-0055-4EC9-AE59-1A60E598B152}" name="14" totalsRowFunction="count" dataDxfId="708" totalsRowDxfId="707"/>
    <tableColumn id="16" xr3:uid="{2A2DDE8B-6BF6-46F3-9E17-5976E9C12359}" name="15" totalsRowFunction="count" dataDxfId="706" totalsRowDxfId="705"/>
    <tableColumn id="17" xr3:uid="{38AF865C-A1C3-4C13-BCE7-A0B4BBC456D4}" name="16" totalsRowFunction="count" dataDxfId="704" totalsRowDxfId="703"/>
    <tableColumn id="18" xr3:uid="{3B095DF1-4D76-46CA-9B14-D1F24E0D3A8C}" name="17" totalsRowFunction="count" dataDxfId="702" totalsRowDxfId="701"/>
    <tableColumn id="19" xr3:uid="{AA0159A6-0EDD-4233-B4C9-4B6C1B99E9F2}" name="18" totalsRowFunction="count" dataDxfId="700" totalsRowDxfId="699"/>
    <tableColumn id="20" xr3:uid="{4250626A-3783-4B04-8CD1-19479790EDB2}" name="19" totalsRowFunction="count" dataDxfId="698" totalsRowDxfId="697"/>
    <tableColumn id="21" xr3:uid="{17FB5F99-5361-4D87-BD88-413E03CC2520}" name="20" totalsRowFunction="count" dataDxfId="696" totalsRowDxfId="695"/>
    <tableColumn id="22" xr3:uid="{A17E92A9-0D7C-44FE-80EA-B181A59BF8CD}" name="21" totalsRowFunction="count" dataDxfId="694" totalsRowDxfId="693"/>
    <tableColumn id="23" xr3:uid="{B25664E9-5EA4-4543-B28C-4A333CDA9629}" name="22" totalsRowFunction="count" dataDxfId="692" totalsRowDxfId="691"/>
    <tableColumn id="24" xr3:uid="{F865518E-8672-4FBF-874F-3839E7DA1616}" name="23" totalsRowFunction="count" dataDxfId="690" totalsRowDxfId="689"/>
    <tableColumn id="25" xr3:uid="{69A84ADA-0D1F-4472-9461-63DF3C72BF65}" name="24" totalsRowFunction="count" dataDxfId="688" totalsRowDxfId="687"/>
    <tableColumn id="26" xr3:uid="{73B7649E-A1E8-406A-A2F9-F13211D197D7}" name="25" totalsRowFunction="count" dataDxfId="686" totalsRowDxfId="685"/>
    <tableColumn id="27" xr3:uid="{B96A666C-A74B-4093-9A26-B7713E1D630E}" name="26" totalsRowFunction="count" dataDxfId="684" totalsRowDxfId="683"/>
    <tableColumn id="28" xr3:uid="{E8A6DA95-9767-4AF1-BE35-F74D231760BE}" name="27" totalsRowFunction="count" dataDxfId="682" totalsRowDxfId="681"/>
    <tableColumn id="29" xr3:uid="{A76A22C4-532C-44E1-AF63-CCDAC291C219}" name="28" totalsRowFunction="count" dataDxfId="680" totalsRowDxfId="679"/>
    <tableColumn id="30" xr3:uid="{94631718-3112-40CA-AEBA-15E651A2F10B}" name="29" totalsRowFunction="count" dataDxfId="678" totalsRowDxfId="677"/>
    <tableColumn id="31" xr3:uid="{4688818A-47DB-4626-B0DE-495515E6F911}" name="30" totalsRowFunction="count" dataDxfId="676" totalsRowDxfId="675"/>
    <tableColumn id="32" xr3:uid="{C1909AFA-0666-439D-81A2-3D29175D6C0C}" name="31" totalsRowFunction="count" dataDxfId="674" totalsRowDxfId="673"/>
    <tableColumn id="33" xr3:uid="{D8A71827-DD47-46E8-AB19-47834A5CF848}" name="إجمالي الأيام" totalsRowFunction="sum" dataDxfId="672" totalsRowDxfId="671">
      <calculatedColumnFormula>COUNTA(مارس[[#This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6F9E34-2B29-4CF4-B30F-19EC599B9258}" name="أبريل" displayName="أبريل" ref="B6:AH12" totalsRowCount="1" headerRowDxfId="665" dataDxfId="664" totalsRowDxfId="663">
  <tableColumns count="33">
    <tableColumn id="1" xr3:uid="{B79759C2-F590-45CD-AA8C-81E54CDA51E9}" name="اسم الموظف" totalsRowFunction="custom" dataDxfId="662" totalsRowDxfId="661" dataCellStyle="الموظف">
      <totalsRowFormula>"إجمالي شهر "&amp;MonthName</totalsRowFormula>
    </tableColumn>
    <tableColumn id="2" xr3:uid="{04C05D72-9A44-4C0F-90E6-A19A5543B558}" name="1" totalsRowFunction="count" dataDxfId="660" totalsRowDxfId="659"/>
    <tableColumn id="3" xr3:uid="{ABF1C166-9CC5-4674-A47E-BFB866BDA790}" name="2" totalsRowFunction="count" dataDxfId="658" totalsRowDxfId="657"/>
    <tableColumn id="4" xr3:uid="{654151C5-AD90-4737-9739-049ECB34A3AD}" name="3" totalsRowFunction="count" dataDxfId="656" totalsRowDxfId="655"/>
    <tableColumn id="5" xr3:uid="{FA15442B-A23D-4BC8-B24A-F85D2CC31423}" name="4" totalsRowFunction="count" dataDxfId="654" totalsRowDxfId="653"/>
    <tableColumn id="6" xr3:uid="{CE364962-81B5-44A1-9312-4D2184367053}" name="5" totalsRowFunction="count" dataDxfId="652" totalsRowDxfId="651"/>
    <tableColumn id="7" xr3:uid="{0112BDE6-919C-4843-A508-404FC2C4C21A}" name="6" totalsRowFunction="count" dataDxfId="650" totalsRowDxfId="649"/>
    <tableColumn id="8" xr3:uid="{4722CD36-B64D-440E-A16A-E36E013C1A03}" name="7" totalsRowFunction="count" dataDxfId="648" totalsRowDxfId="647"/>
    <tableColumn id="9" xr3:uid="{E47D9A51-E600-42AE-AECB-E5572A4E1CB5}" name="8" totalsRowFunction="count" dataDxfId="646" totalsRowDxfId="645"/>
    <tableColumn id="10" xr3:uid="{66E579FC-0BD3-4A0B-A4FE-35F493F4D8FB}" name="9" totalsRowFunction="count" dataDxfId="644" totalsRowDxfId="643"/>
    <tableColumn id="11" xr3:uid="{DB22F456-1196-4B6A-A8D6-C90D5EF3AC34}" name="10" totalsRowFunction="count" dataDxfId="642" totalsRowDxfId="641"/>
    <tableColumn id="12" xr3:uid="{9E7A4D3F-0E6A-439B-855A-3C0DFA619E0B}" name="11" totalsRowFunction="count" dataDxfId="640" totalsRowDxfId="639"/>
    <tableColumn id="13" xr3:uid="{2D7B1FA0-CDD7-4D47-8C9F-6004E3E4FCA6}" name="12" totalsRowFunction="count" dataDxfId="638" totalsRowDxfId="637"/>
    <tableColumn id="14" xr3:uid="{1F467853-403C-4C95-AEE1-CB9F8E3CDC79}" name="13" totalsRowFunction="count" dataDxfId="636" totalsRowDxfId="635"/>
    <tableColumn id="15" xr3:uid="{5F2A2C37-D63F-439E-876E-A41B854707AF}" name="14" totalsRowFunction="count" dataDxfId="634" totalsRowDxfId="633"/>
    <tableColumn id="16" xr3:uid="{E49C6835-542F-4A54-8E96-20D217713EA3}" name="15" totalsRowFunction="count" dataDxfId="632" totalsRowDxfId="631"/>
    <tableColumn id="17" xr3:uid="{729879B0-6216-49F8-9C71-AC5289016819}" name="16" totalsRowFunction="count" dataDxfId="630" totalsRowDxfId="629"/>
    <tableColumn id="18" xr3:uid="{1974EE99-06A8-4E6E-84C7-D69C8A86A265}" name="17" totalsRowFunction="count" dataDxfId="628" totalsRowDxfId="627"/>
    <tableColumn id="19" xr3:uid="{71A441A7-8DFB-40E9-AADE-ABE58C63BC55}" name="18" totalsRowFunction="count" dataDxfId="626" totalsRowDxfId="625"/>
    <tableColumn id="20" xr3:uid="{A61F7868-E54D-4C00-ABC6-6D2B82C9E472}" name="19" totalsRowFunction="count" dataDxfId="624" totalsRowDxfId="623"/>
    <tableColumn id="21" xr3:uid="{6D8492CC-F551-4D57-BA5F-9386B81AD420}" name="20" totalsRowFunction="count" dataDxfId="622" totalsRowDxfId="621"/>
    <tableColumn id="22" xr3:uid="{FB31E68D-E1DE-4E13-A25C-3C23441840EF}" name="21" totalsRowFunction="count" dataDxfId="620" totalsRowDxfId="619"/>
    <tableColumn id="23" xr3:uid="{C59F674B-65C4-4383-A468-D439E4BF936B}" name="22" totalsRowFunction="count" dataDxfId="618" totalsRowDxfId="617"/>
    <tableColumn id="24" xr3:uid="{6F6323D6-545B-493A-AF30-C3C2BA1C4A68}" name="23" totalsRowFunction="count" dataDxfId="616" totalsRowDxfId="615"/>
    <tableColumn id="25" xr3:uid="{2046854C-0A94-4848-A4BF-DDD443FA0022}" name="24" totalsRowFunction="count" dataDxfId="614" totalsRowDxfId="613"/>
    <tableColumn id="26" xr3:uid="{FD9D8286-973B-4B67-A115-F8C350BD1564}" name="25" totalsRowFunction="count" dataDxfId="612" totalsRowDxfId="611"/>
    <tableColumn id="27" xr3:uid="{E95A31B7-9AD2-46BE-828E-3D9C60FD4039}" name="26" totalsRowFunction="count" dataDxfId="610" totalsRowDxfId="609"/>
    <tableColumn id="28" xr3:uid="{1C81FC5F-B659-4FD1-831B-FF8A8788710C}" name="27" totalsRowFunction="count" dataDxfId="608" totalsRowDxfId="607"/>
    <tableColumn id="29" xr3:uid="{E2917249-BF90-43D7-AC41-DF05302AE165}" name="28" totalsRowFunction="count" dataDxfId="606" totalsRowDxfId="605"/>
    <tableColumn id="30" xr3:uid="{7E07F33B-E9D5-418D-91E6-E0D63FFA76DB}" name="29" totalsRowFunction="count" dataDxfId="604" totalsRowDxfId="603"/>
    <tableColumn id="31" xr3:uid="{81171233-5811-4905-BF6A-38A45474E945}" name="30" totalsRowFunction="count" dataDxfId="602" totalsRowDxfId="601"/>
    <tableColumn id="32" xr3:uid="{B1279A7D-398E-40F1-A25B-FDBBE4C8BE48}" name=" " totalsRowFunction="custom" dataDxfId="600" totalsRowDxfId="599">
      <totalsRowFormula>SUBTOTAL(103,أبريل[30])</totalsRowFormula>
    </tableColumn>
    <tableColumn id="33" xr3:uid="{32EEECF4-46E2-4346-B0DA-ED5B4047387F}" name="إجمالي الأيام" totalsRowFunction="sum" dataDxfId="598" totalsRowDxfId="597">
      <calculatedColumnFormula>COUNTA(أبريل[[#This Row],[1]:[30]])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A0494D-7B41-4911-96A2-26085F1505AF}" name="مايو" displayName="مايو" ref="B6:AH12" totalsRowCount="1" headerRowDxfId="591" dataDxfId="590" totalsRowDxfId="589">
  <tableColumns count="33">
    <tableColumn id="1" xr3:uid="{550FACE8-223E-42EB-9357-F15FE511381F}" name="اسم الموظف" totalsRowFunction="custom" dataDxfId="588" totalsRowDxfId="587" dataCellStyle="الموظف">
      <totalsRowFormula>"إجمالي شهر "&amp;MonthName</totalsRowFormula>
    </tableColumn>
    <tableColumn id="2" xr3:uid="{21ABF926-7CB7-4A54-B5D0-D87E1C3ADA41}" name="1" totalsRowFunction="count" dataDxfId="586" totalsRowDxfId="585"/>
    <tableColumn id="3" xr3:uid="{65B4DAE6-306B-411D-8C7F-CE157DA934F1}" name="2" totalsRowFunction="count" dataDxfId="584" totalsRowDxfId="583"/>
    <tableColumn id="4" xr3:uid="{3199BA9D-C5B9-4408-B5F9-1BEB91A0863B}" name="3" totalsRowFunction="count" dataDxfId="582" totalsRowDxfId="581"/>
    <tableColumn id="5" xr3:uid="{6C43EC39-90B5-4575-868C-4B9E23ABCA94}" name="4" totalsRowFunction="count" dataDxfId="580" totalsRowDxfId="579"/>
    <tableColumn id="6" xr3:uid="{9C8B82E3-20B1-4DDF-94D9-706E4EE3E0CA}" name="5" totalsRowFunction="count" dataDxfId="578" totalsRowDxfId="577"/>
    <tableColumn id="7" xr3:uid="{6CCFF92E-2464-48C0-82EA-B429A5904EC8}" name="6" totalsRowFunction="count" dataDxfId="576" totalsRowDxfId="575"/>
    <tableColumn id="8" xr3:uid="{EE26044E-9D61-443B-8D05-0798074CC681}" name="7" totalsRowFunction="count" dataDxfId="574" totalsRowDxfId="573"/>
    <tableColumn id="9" xr3:uid="{A19B5BBB-103B-4A96-8EB5-ADBF7A21F884}" name="8" totalsRowFunction="count" dataDxfId="572" totalsRowDxfId="571"/>
    <tableColumn id="10" xr3:uid="{99C8452E-3B65-4701-83EF-FB2EC796C496}" name="9" totalsRowFunction="count" dataDxfId="570" totalsRowDxfId="569"/>
    <tableColumn id="11" xr3:uid="{E7E33C23-54E8-4586-89E8-C993CC5AD176}" name="10" totalsRowFunction="count" dataDxfId="568" totalsRowDxfId="567"/>
    <tableColumn id="12" xr3:uid="{9FCA6AE8-E624-480C-9902-5C409D70F287}" name="11" totalsRowFunction="count" dataDxfId="566" totalsRowDxfId="565"/>
    <tableColumn id="13" xr3:uid="{6D05DC5E-19F3-495B-A5D0-27BB01F121E0}" name="12" totalsRowFunction="count" dataDxfId="564" totalsRowDxfId="563"/>
    <tableColumn id="14" xr3:uid="{7391AAD0-FA06-451B-895D-9B1436EB13D5}" name="13" totalsRowFunction="count" dataDxfId="562" totalsRowDxfId="561"/>
    <tableColumn id="15" xr3:uid="{392FF6BD-FF15-4840-9A1B-DAB8E1593185}" name="14" totalsRowFunction="count" dataDxfId="560" totalsRowDxfId="559"/>
    <tableColumn id="16" xr3:uid="{CABAD2A2-33EE-44FB-8265-188C07E63EB7}" name="15" totalsRowFunction="count" dataDxfId="558" totalsRowDxfId="557"/>
    <tableColumn id="17" xr3:uid="{67218CCC-6037-4047-BDEF-58634908637F}" name="16" totalsRowFunction="count" dataDxfId="556" totalsRowDxfId="555"/>
    <tableColumn id="18" xr3:uid="{D73D6AA0-F04A-4214-80FE-B8AE0E979F46}" name="17" totalsRowFunction="count" dataDxfId="554" totalsRowDxfId="553"/>
    <tableColumn id="19" xr3:uid="{1C801E25-533B-4203-A1F4-EEF4D67CC647}" name="18" totalsRowFunction="count" dataDxfId="552" totalsRowDxfId="551"/>
    <tableColumn id="20" xr3:uid="{C72F8A68-52D2-4C96-BE78-52FAEA97EAF7}" name="19" totalsRowFunction="count" dataDxfId="550" totalsRowDxfId="549"/>
    <tableColumn id="21" xr3:uid="{B6DBAC3F-4779-45B5-95C3-6BCB10C1E067}" name="20" totalsRowFunction="count" dataDxfId="548" totalsRowDxfId="547"/>
    <tableColumn id="22" xr3:uid="{2DFCE524-ED17-4B19-8039-F8CB919B647D}" name="21" totalsRowFunction="count" dataDxfId="546" totalsRowDxfId="545"/>
    <tableColumn id="23" xr3:uid="{54C27CB4-7DD6-4C8A-A9AC-63AF895EDB43}" name="22" totalsRowFunction="count" dataDxfId="544" totalsRowDxfId="543"/>
    <tableColumn id="24" xr3:uid="{DB0385D3-116A-4B41-9418-4EFE4A462AA0}" name="23" totalsRowFunction="count" dataDxfId="542" totalsRowDxfId="541"/>
    <tableColumn id="25" xr3:uid="{BA48A9C8-5018-4659-B663-028C64FD6CCB}" name="24" totalsRowFunction="count" dataDxfId="540" totalsRowDxfId="539"/>
    <tableColumn id="26" xr3:uid="{F5EBED3B-10BB-41AB-A6B3-89044DF5CCAC}" name="25" totalsRowFunction="count" dataDxfId="538" totalsRowDxfId="537"/>
    <tableColumn id="27" xr3:uid="{4525FC1B-347B-457D-ABA6-9AA47C013E90}" name="26" totalsRowFunction="count" dataDxfId="536" totalsRowDxfId="535"/>
    <tableColumn id="28" xr3:uid="{3E892C03-CC46-445A-A824-CEA02CB7C59F}" name="27" totalsRowFunction="count" dataDxfId="534" totalsRowDxfId="533"/>
    <tableColumn id="29" xr3:uid="{945AC946-22B3-4665-94B1-3194D25F86B5}" name="28" totalsRowFunction="count" dataDxfId="532" totalsRowDxfId="531"/>
    <tableColumn id="30" xr3:uid="{F27BF34E-171C-442F-9BC7-10D678FFF7D6}" name="29" totalsRowFunction="count" dataDxfId="530" totalsRowDxfId="529"/>
    <tableColumn id="31" xr3:uid="{BA088067-7839-4C93-A7CE-78DB9D10E791}" name="30" totalsRowFunction="count" dataDxfId="528" totalsRowDxfId="527"/>
    <tableColumn id="32" xr3:uid="{60FC2A7F-0E77-41B0-91DD-A766695A22A5}" name="31" totalsRowFunction="count" dataDxfId="526" totalsRowDxfId="525"/>
    <tableColumn id="33" xr3:uid="{F930D19B-A064-4151-A258-D26D5F91DEBE}" name="إجمالي الأيام" totalsRowFunction="sum" dataDxfId="524" totalsRowDxfId="523">
      <calculatedColumnFormula>COUNTA(مايو[[#This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F51CC17-1F4B-42C8-9C69-1A6BA7C43CC5}" name="يونيو" displayName="يونيو" ref="B6:AH12" totalsRowCount="1" headerRowDxfId="517" dataDxfId="516" totalsRowDxfId="515">
  <tableColumns count="33">
    <tableColumn id="1" xr3:uid="{F7F58282-12BF-4FE1-AB8A-904F40C4A722}" name="اسم الموظف" totalsRowFunction="custom" dataDxfId="514" totalsRowDxfId="513" dataCellStyle="الموظف">
      <totalsRowFormula>"إجمالي شهر "&amp;MonthName</totalsRowFormula>
    </tableColumn>
    <tableColumn id="2" xr3:uid="{6029E8FC-3F18-44D2-988C-4D8E38670320}" name="1" totalsRowFunction="count" dataDxfId="512" totalsRowDxfId="511"/>
    <tableColumn id="3" xr3:uid="{4B473ED6-AAD6-446C-BBFC-CD22DE3708A9}" name="2" totalsRowFunction="count" dataDxfId="510" totalsRowDxfId="509"/>
    <tableColumn id="4" xr3:uid="{E4AD2A03-AF4D-451B-8D51-BBD47A769FE9}" name="3" totalsRowFunction="count" dataDxfId="508" totalsRowDxfId="507"/>
    <tableColumn id="5" xr3:uid="{F6A471E3-33C0-4B99-96AB-87BB92373459}" name="4" totalsRowFunction="count" dataDxfId="506" totalsRowDxfId="505"/>
    <tableColumn id="6" xr3:uid="{C829C8CA-62FA-431B-A03E-623989125439}" name="5" totalsRowFunction="count" dataDxfId="504" totalsRowDxfId="503"/>
    <tableColumn id="7" xr3:uid="{93105D89-D050-4E50-A89A-B63C70A877AA}" name="6" totalsRowFunction="count" dataDxfId="502" totalsRowDxfId="501"/>
    <tableColumn id="8" xr3:uid="{9CD2232C-AC16-4132-94AB-A159692E3CCE}" name="7" totalsRowFunction="count" dataDxfId="500" totalsRowDxfId="499"/>
    <tableColumn id="9" xr3:uid="{8DD4EA00-1C92-4BEF-8183-48DDFDEE3D48}" name="8" totalsRowFunction="count" dataDxfId="498" totalsRowDxfId="497"/>
    <tableColumn id="10" xr3:uid="{6A04FD60-CF3C-4E7F-B45A-0D688B17D9B6}" name="9" totalsRowFunction="count" dataDxfId="496" totalsRowDxfId="495"/>
    <tableColumn id="11" xr3:uid="{9C599A24-23E9-45FC-BD7D-E4E633D462E6}" name="10" totalsRowFunction="count" dataDxfId="494" totalsRowDxfId="493"/>
    <tableColumn id="12" xr3:uid="{C0DFA2CF-8560-4F39-8402-A40023DEE753}" name="11" totalsRowFunction="count" dataDxfId="492" totalsRowDxfId="491"/>
    <tableColumn id="13" xr3:uid="{276C8A0F-CDB6-42A3-B2BE-34513F9D67BF}" name="12" totalsRowFunction="count" dataDxfId="490" totalsRowDxfId="489"/>
    <tableColumn id="14" xr3:uid="{A3491147-FFDE-4DE3-BB55-4F2AC25C133F}" name="13" totalsRowFunction="count" dataDxfId="488" totalsRowDxfId="487"/>
    <tableColumn id="15" xr3:uid="{CE58E269-097A-4AC0-A971-45CC222E9B58}" name="14" totalsRowFunction="count" dataDxfId="486" totalsRowDxfId="485"/>
    <tableColumn id="16" xr3:uid="{0600EC64-61EF-4BA1-806A-4127A5450D6A}" name="15" totalsRowFunction="count" dataDxfId="484" totalsRowDxfId="483"/>
    <tableColumn id="17" xr3:uid="{E363A923-8A53-4BD5-A637-C5707D53833E}" name="16" totalsRowFunction="count" dataDxfId="482" totalsRowDxfId="481"/>
    <tableColumn id="18" xr3:uid="{1A334A64-D37C-4171-BE22-8671E0E917BE}" name="17" totalsRowFunction="count" dataDxfId="480" totalsRowDxfId="479"/>
    <tableColumn id="19" xr3:uid="{797D8D2A-4231-48C8-9B66-04166BFADEBD}" name="18" totalsRowFunction="count" dataDxfId="478" totalsRowDxfId="477"/>
    <tableColumn id="20" xr3:uid="{CA0102B0-FF6F-4CA0-B818-25ED79C04717}" name="19" totalsRowFunction="count" dataDxfId="476" totalsRowDxfId="475"/>
    <tableColumn id="21" xr3:uid="{253591B9-EB3C-41A7-AF3F-6CD07FE5E568}" name="20" totalsRowFunction="count" dataDxfId="474" totalsRowDxfId="473"/>
    <tableColumn id="22" xr3:uid="{2AC29706-C02D-48DE-9615-26B5EA937F23}" name="21" totalsRowFunction="count" dataDxfId="472" totalsRowDxfId="471"/>
    <tableColumn id="23" xr3:uid="{512616F5-83DD-42DC-8E0D-C133A87C25B2}" name="22" totalsRowFunction="count" dataDxfId="470" totalsRowDxfId="469"/>
    <tableColumn id="24" xr3:uid="{0E039500-D644-486C-BDF4-92429F90ACFC}" name="23" totalsRowFunction="count" dataDxfId="468" totalsRowDxfId="467"/>
    <tableColumn id="25" xr3:uid="{00CEE6A9-14B2-4514-B16C-63D8E1857FCD}" name="24" totalsRowFunction="count" dataDxfId="466" totalsRowDxfId="465"/>
    <tableColumn id="26" xr3:uid="{53CF8167-FAF4-4145-A523-9FBFBD3C197E}" name="25" totalsRowFunction="count" dataDxfId="464" totalsRowDxfId="463"/>
    <tableColumn id="27" xr3:uid="{F0BDFD46-49C2-4818-9383-03C0F67AB98E}" name="26" totalsRowFunction="count" dataDxfId="462" totalsRowDxfId="461"/>
    <tableColumn id="28" xr3:uid="{1290DB23-C6D0-4DE1-9EB4-3DD9C7AAA524}" name="27" totalsRowFunction="count" dataDxfId="460" totalsRowDxfId="459"/>
    <tableColumn id="29" xr3:uid="{E2B20394-9F90-4B29-AFA0-48EB1D8FDB95}" name="28" totalsRowFunction="count" dataDxfId="458" totalsRowDxfId="457"/>
    <tableColumn id="30" xr3:uid="{FE2CE3C6-2937-4603-81C8-202A6AF37026}" name="29" totalsRowFunction="count" dataDxfId="456" totalsRowDxfId="455"/>
    <tableColumn id="31" xr3:uid="{352CBD14-21C3-40B1-A98B-C110A4454F0B}" name="30" totalsRowFunction="count" dataDxfId="454" totalsRowDxfId="453"/>
    <tableColumn id="32" xr3:uid="{3BFA0088-5929-4089-967A-A9631C5D80DD}" name=" " totalsRowFunction="count" dataDxfId="452" totalsRowDxfId="451"/>
    <tableColumn id="33" xr3:uid="{95FB2990-B4F6-47DA-9D86-C04B48E78238}" name="إجمالي الأيام" totalsRowFunction="sum" dataDxfId="450" totalsRowDxfId="449">
      <calculatedColumnFormula>COUNTA(يونيو[[#This Row],[1]:[30]])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769732-FD99-4F7D-A247-124C3565DC17}" name="يوليو" displayName="يوليو" ref="B6:AH12" totalsRowCount="1" headerRowDxfId="443" dataDxfId="442" totalsRowDxfId="441">
  <tableColumns count="33">
    <tableColumn id="1" xr3:uid="{1C23A90D-7448-4D69-AD45-78672BD39185}" name="اسم الموظف" totalsRowFunction="custom" dataDxfId="440" totalsRowDxfId="439" dataCellStyle="الموظف">
      <totalsRowFormula>"إجمالي شهر "&amp;MonthName</totalsRowFormula>
    </tableColumn>
    <tableColumn id="2" xr3:uid="{36AE892C-24A9-41FB-90FA-BC7FCD7DD08A}" name="1" totalsRowFunction="count" dataDxfId="438" totalsRowDxfId="437"/>
    <tableColumn id="3" xr3:uid="{14C97546-7E88-4E8E-BBAA-1BB33A1E28ED}" name="2" totalsRowFunction="count" dataDxfId="436" totalsRowDxfId="435"/>
    <tableColumn id="4" xr3:uid="{E2FA53BB-778A-4CF3-9E60-F77B4125DEE1}" name="3" totalsRowFunction="count" dataDxfId="434" totalsRowDxfId="433"/>
    <tableColumn id="5" xr3:uid="{C21D6ACA-DE6F-4DEB-BD48-0F702640EDD8}" name="4" totalsRowFunction="count" dataDxfId="432" totalsRowDxfId="431"/>
    <tableColumn id="6" xr3:uid="{56701F05-CD60-48B8-BC2C-CDEB61487B2E}" name="5" totalsRowFunction="count" dataDxfId="430" totalsRowDxfId="429"/>
    <tableColumn id="7" xr3:uid="{E37B183B-690A-4FA3-BDC8-D91A11E8DC8E}" name="6" totalsRowFunction="count" dataDxfId="428" totalsRowDxfId="427"/>
    <tableColumn id="8" xr3:uid="{86E8A607-2867-456C-89A8-CF0A14DD7C75}" name="7" totalsRowFunction="count" dataDxfId="426" totalsRowDxfId="425"/>
    <tableColumn id="9" xr3:uid="{2AC18ACF-B264-4909-A2DD-4CDC463441A4}" name="8" totalsRowFunction="count" dataDxfId="424" totalsRowDxfId="423"/>
    <tableColumn id="10" xr3:uid="{A48FD5FE-C739-436B-8902-9675A6D2442B}" name="9" totalsRowFunction="count" dataDxfId="422" totalsRowDxfId="421"/>
    <tableColumn id="11" xr3:uid="{C6E7C533-49BC-4550-AFC5-767E289CD77B}" name="10" totalsRowFunction="count" dataDxfId="420" totalsRowDxfId="419"/>
    <tableColumn id="12" xr3:uid="{2C2A5599-D8CE-47B2-AB4B-88F8D558F7A9}" name="11" totalsRowFunction="count" dataDxfId="418" totalsRowDxfId="417"/>
    <tableColumn id="13" xr3:uid="{3A4F7A48-84B9-44CA-8DB4-04097CF47025}" name="12" totalsRowFunction="count" dataDxfId="416" totalsRowDxfId="415"/>
    <tableColumn id="14" xr3:uid="{8A155796-1DFF-4208-B72F-8F3EEF2D68A5}" name="13" totalsRowFunction="count" dataDxfId="414" totalsRowDxfId="413"/>
    <tableColumn id="15" xr3:uid="{57B90A92-7784-4F9A-B4F2-E69DB99D30C7}" name="14" totalsRowFunction="count" dataDxfId="412" totalsRowDxfId="411"/>
    <tableColumn id="16" xr3:uid="{90BC78A0-519C-4A4B-BE16-656C71B557DA}" name="15" totalsRowFunction="count" dataDxfId="410" totalsRowDxfId="409"/>
    <tableColumn id="17" xr3:uid="{2DE4B638-38AA-4A84-BED8-194B0706414D}" name="16" totalsRowFunction="count" dataDxfId="408" totalsRowDxfId="407"/>
    <tableColumn id="18" xr3:uid="{B5D0EE8D-1DEC-4FC8-89E6-0906068400A5}" name="17" totalsRowFunction="count" dataDxfId="406" totalsRowDxfId="405"/>
    <tableColumn id="19" xr3:uid="{7E28EAE9-9CA0-4FFE-8AF8-0CC1E22B7FB6}" name="18" totalsRowFunction="count" dataDxfId="404" totalsRowDxfId="403"/>
    <tableColumn id="20" xr3:uid="{420E9D6D-5F2B-4B0C-8396-4FCEEBA73944}" name="19" totalsRowFunction="count" dataDxfId="402" totalsRowDxfId="401"/>
    <tableColumn id="21" xr3:uid="{6D298FA3-5C50-495B-AC38-61BACCF01860}" name="20" totalsRowFunction="count" dataDxfId="400" totalsRowDxfId="399"/>
    <tableColumn id="22" xr3:uid="{E689B3BE-22F9-45D2-BE41-59666B79D165}" name="21" totalsRowFunction="count" dataDxfId="398" totalsRowDxfId="397"/>
    <tableColumn id="23" xr3:uid="{4EEC4362-1C9F-4B00-8760-54713D3E5BDB}" name="22" totalsRowFunction="count" dataDxfId="396" totalsRowDxfId="395"/>
    <tableColumn id="24" xr3:uid="{B9C74D09-E697-4537-AF74-11AB805717D6}" name="23" totalsRowFunction="count" dataDxfId="394" totalsRowDxfId="393"/>
    <tableColumn id="25" xr3:uid="{25278753-D2CE-4AF7-895B-A9BECE4013E7}" name="24" totalsRowFunction="count" dataDxfId="392" totalsRowDxfId="391"/>
    <tableColumn id="26" xr3:uid="{FCC91079-0A1D-4868-B595-183189C65C97}" name="25" totalsRowFunction="count" dataDxfId="390" totalsRowDxfId="389"/>
    <tableColumn id="27" xr3:uid="{06016BC2-1257-44E2-9BB4-AB1D6E442AF6}" name="26" totalsRowFunction="count" dataDxfId="388" totalsRowDxfId="387"/>
    <tableColumn id="28" xr3:uid="{03295D85-F694-47EB-A5E8-DEC8F5D54CF9}" name="27" totalsRowFunction="count" dataDxfId="386" totalsRowDxfId="385"/>
    <tableColumn id="29" xr3:uid="{354D4F72-E872-42B2-BBD0-E9D0787876DA}" name="28" totalsRowFunction="count" dataDxfId="384" totalsRowDxfId="383"/>
    <tableColumn id="30" xr3:uid="{B209BE90-CFDC-49B2-9263-B7C59BAF51CF}" name="29" totalsRowFunction="count" dataDxfId="382" totalsRowDxfId="381"/>
    <tableColumn id="31" xr3:uid="{C908D461-0B27-4DA6-BE88-70C94C8F6B08}" name="30" totalsRowFunction="count" dataDxfId="380" totalsRowDxfId="379"/>
    <tableColumn id="32" xr3:uid="{F41055D3-C628-4C32-8A79-24A560879C79}" name="31" totalsRowFunction="count" dataDxfId="378" totalsRowDxfId="377"/>
    <tableColumn id="33" xr3:uid="{8F3403BB-AD0E-4120-AB22-4F5DC8304488}" name="إجمالي الأيام" totalsRowFunction="sum" dataDxfId="376" totalsRowDxfId="375">
      <calculatedColumnFormula>COUNTA(يوليو[[#This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AD383C4-7F62-4274-A512-DE1EA8A79D62}" name="أغسطس" displayName="أغسطس" ref="B6:AH12" totalsRowCount="1" headerRowDxfId="369" dataDxfId="368" totalsRowDxfId="367">
  <tableColumns count="33">
    <tableColumn id="1" xr3:uid="{82CD8DAF-9EE8-439A-86F9-E27624147CB7}" name="اسم الموظف" totalsRowFunction="custom" dataDxfId="366" totalsRowDxfId="365" dataCellStyle="الموظف">
      <totalsRowFormula>"إجمالي شهر "&amp;MonthName</totalsRowFormula>
    </tableColumn>
    <tableColumn id="2" xr3:uid="{F4311A46-CBDC-4EB7-BA83-70C56A736E2C}" name="1" totalsRowFunction="count" dataDxfId="364" totalsRowDxfId="363"/>
    <tableColumn id="3" xr3:uid="{42AA57F9-482C-4962-9092-5E471504C3B5}" name="2" totalsRowFunction="count" dataDxfId="362" totalsRowDxfId="361"/>
    <tableColumn id="4" xr3:uid="{33525590-2A20-4F61-A2D2-A85BAF257DAC}" name="3" totalsRowFunction="count" dataDxfId="360" totalsRowDxfId="359"/>
    <tableColumn id="5" xr3:uid="{88B3422C-70D6-4AD5-A755-CCD35BD654CD}" name="4" totalsRowFunction="count" dataDxfId="358" totalsRowDxfId="357"/>
    <tableColumn id="6" xr3:uid="{FFF601CF-A144-4C40-9113-62495EEBBF0D}" name="5" totalsRowFunction="count" dataDxfId="356" totalsRowDxfId="355"/>
    <tableColumn id="7" xr3:uid="{9D6C788F-2BDC-4804-BDC9-27B0B7F97213}" name="6" totalsRowFunction="count" dataDxfId="354" totalsRowDxfId="353"/>
    <tableColumn id="8" xr3:uid="{E9B39B5B-D947-486C-9B3E-BAEDD1293980}" name="7" totalsRowFunction="count" dataDxfId="352" totalsRowDxfId="351"/>
    <tableColumn id="9" xr3:uid="{D40179D1-1BB3-4300-A4CF-B1F19B77F04F}" name="8" totalsRowFunction="count" dataDxfId="350" totalsRowDxfId="349"/>
    <tableColumn id="10" xr3:uid="{9CFD4D49-478D-4182-AE93-5868DED8DFD0}" name="9" totalsRowFunction="count" dataDxfId="348" totalsRowDxfId="347"/>
    <tableColumn id="11" xr3:uid="{73C62A6E-E5F8-4354-BAA4-97EF5F09F675}" name="10" totalsRowFunction="count" dataDxfId="346" totalsRowDxfId="345"/>
    <tableColumn id="12" xr3:uid="{4D150268-EE47-47C4-97DD-46D88B52658A}" name="11" totalsRowFunction="count" dataDxfId="344" totalsRowDxfId="343"/>
    <tableColumn id="13" xr3:uid="{862AF67C-3AA0-478B-88A7-CBCA77F924A2}" name="12" totalsRowFunction="count" dataDxfId="342" totalsRowDxfId="341"/>
    <tableColumn id="14" xr3:uid="{C26756F8-858D-4E11-92A3-7B94F3FE56A6}" name="13" totalsRowFunction="count" dataDxfId="340" totalsRowDxfId="339"/>
    <tableColumn id="15" xr3:uid="{FDD7474F-A6A9-4409-ABF9-0829146245DB}" name="14" totalsRowFunction="count" dataDxfId="338" totalsRowDxfId="337"/>
    <tableColumn id="16" xr3:uid="{304CC467-1A5E-4FDA-A803-DC1CEF194107}" name="15" totalsRowFunction="count" dataDxfId="336" totalsRowDxfId="335"/>
    <tableColumn id="17" xr3:uid="{84765F66-E0F1-42B0-B8A7-0B31BBB8B189}" name="16" totalsRowFunction="count" dataDxfId="334" totalsRowDxfId="333"/>
    <tableColumn id="18" xr3:uid="{55DF57DF-D725-4483-814A-41DB0C9EA87F}" name="17" totalsRowFunction="count" dataDxfId="332" totalsRowDxfId="331"/>
    <tableColumn id="19" xr3:uid="{E04B7FBA-4790-4EC6-9185-9BD4F0C016A2}" name="18" totalsRowFunction="count" dataDxfId="330" totalsRowDxfId="329"/>
    <tableColumn id="20" xr3:uid="{D8E205B0-AAD3-45C5-9A6C-3925925F6A36}" name="19" totalsRowFunction="count" dataDxfId="328" totalsRowDxfId="327"/>
    <tableColumn id="21" xr3:uid="{4B49D1BC-8437-4570-8FA6-3EECE0E60349}" name="20" totalsRowFunction="count" dataDxfId="326" totalsRowDxfId="325"/>
    <tableColumn id="22" xr3:uid="{01558C03-15E9-4259-BE7B-7CBB5E2A8674}" name="21" totalsRowFunction="count" dataDxfId="324" totalsRowDxfId="323"/>
    <tableColumn id="23" xr3:uid="{2E2211A4-2302-4FE9-9A4C-3488496003CE}" name="22" totalsRowFunction="count" dataDxfId="322" totalsRowDxfId="321"/>
    <tableColumn id="24" xr3:uid="{C442A918-DB7D-4B2A-B6C4-28B6059B3E63}" name="23" totalsRowFunction="count" dataDxfId="320" totalsRowDxfId="319"/>
    <tableColumn id="25" xr3:uid="{F8306758-8DDF-4A14-A306-B622F36DBA19}" name="24" totalsRowFunction="count" dataDxfId="318" totalsRowDxfId="317"/>
    <tableColumn id="26" xr3:uid="{CD690C3F-C418-4820-9767-4522DDE6D1C4}" name="25" totalsRowFunction="count" dataDxfId="316" totalsRowDxfId="315"/>
    <tableColumn id="27" xr3:uid="{502054AC-64D2-41BC-A42F-00788BC74B9B}" name="26" totalsRowFunction="count" dataDxfId="314" totalsRowDxfId="313"/>
    <tableColumn id="28" xr3:uid="{2A7A2EF2-F527-4D0A-8304-6A47CF6E72D7}" name="27" totalsRowFunction="count" dataDxfId="312" totalsRowDxfId="311"/>
    <tableColumn id="29" xr3:uid="{68BAE11C-5F83-4FBE-95D0-7C752B96DA63}" name="28" totalsRowFunction="count" dataDxfId="310" totalsRowDxfId="309"/>
    <tableColumn id="30" xr3:uid="{0DABEDC9-65CC-4706-82A5-592160970F06}" name="29" totalsRowFunction="count" dataDxfId="308" totalsRowDxfId="307"/>
    <tableColumn id="31" xr3:uid="{EABEC880-9E55-4FF7-879C-82F0FCC58494}" name="30" totalsRowFunction="count" dataDxfId="306" totalsRowDxfId="305"/>
    <tableColumn id="32" xr3:uid="{D0177B2E-BF1E-47F9-A8F7-3EC5606BC519}" name="31" totalsRowFunction="count" dataDxfId="304" totalsRowDxfId="303"/>
    <tableColumn id="33" xr3:uid="{8E47470B-BD2A-4584-B0B7-DEDD7A50744D}" name="إجمالي الأيام" totalsRowFunction="sum" dataDxfId="302" totalsRowDxfId="301">
      <calculatedColumnFormula>COUNTA(أغسطس[[#This Row],[1]:[31]])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1A1ACBB-F26A-4985-996D-3256325AEBCF}" name="سبتمبر" displayName="سبتمبر" ref="B6:AH12" totalsRowCount="1" headerRowDxfId="295" dataDxfId="294" totalsRowDxfId="293">
  <tableColumns count="33">
    <tableColumn id="1" xr3:uid="{36347EC1-FB42-4181-984D-A4572F26B548}" name="اسم الموظف" totalsRowFunction="custom" dataDxfId="292" totalsRowDxfId="291" dataCellStyle="الموظف">
      <totalsRowFormula>"إجمالي شهر "&amp;MonthName</totalsRowFormula>
    </tableColumn>
    <tableColumn id="2" xr3:uid="{67BA11C4-F8BB-45D1-8A1F-6743809BAEA7}" name="1" totalsRowFunction="count" dataDxfId="290" totalsRowDxfId="289"/>
    <tableColumn id="3" xr3:uid="{D15AF571-AB37-41C1-90AD-A65E3FD672B5}" name="2" totalsRowFunction="count" dataDxfId="288" totalsRowDxfId="287"/>
    <tableColumn id="4" xr3:uid="{240D61AD-7911-423A-AA50-9BC1085F4578}" name="3" totalsRowFunction="count" dataDxfId="286" totalsRowDxfId="285"/>
    <tableColumn id="5" xr3:uid="{2728EA6B-BCEB-48CA-BE47-AF7EFE7C1355}" name="4" totalsRowFunction="count" dataDxfId="284" totalsRowDxfId="283"/>
    <tableColumn id="6" xr3:uid="{623B9D49-448F-4314-91C3-5297321D768D}" name="5" totalsRowFunction="count" dataDxfId="282" totalsRowDxfId="281"/>
    <tableColumn id="7" xr3:uid="{3D36EC0F-79B1-42D7-AF97-3B819B8EA307}" name="6" totalsRowFunction="count" dataDxfId="280" totalsRowDxfId="279"/>
    <tableColumn id="8" xr3:uid="{C605A1F4-9BA5-4771-8152-63A63F91D7BC}" name="7" totalsRowFunction="count" dataDxfId="278" totalsRowDxfId="277"/>
    <tableColumn id="9" xr3:uid="{7E34D3C4-66E0-4EA6-B169-E31254FBF451}" name="8" totalsRowFunction="count" dataDxfId="276" totalsRowDxfId="275"/>
    <tableColumn id="10" xr3:uid="{1E9A95B7-5020-4B82-AF51-33375426D611}" name="9" totalsRowFunction="count" dataDxfId="274" totalsRowDxfId="273"/>
    <tableColumn id="11" xr3:uid="{2CEC61B6-FC63-4566-B425-E1887D6E0C65}" name="10" totalsRowFunction="count" dataDxfId="272" totalsRowDxfId="271"/>
    <tableColumn id="12" xr3:uid="{34CF01F0-988B-4575-8D45-EB644CC01F6D}" name="11" totalsRowFunction="count" dataDxfId="270" totalsRowDxfId="269"/>
    <tableColumn id="13" xr3:uid="{BC8CFF19-0E81-4A0F-A815-402AEA155374}" name="12" totalsRowFunction="count" dataDxfId="268" totalsRowDxfId="267"/>
    <tableColumn id="14" xr3:uid="{45B9F821-048D-468C-A450-68C94AFCC7A1}" name="13" totalsRowFunction="count" dataDxfId="266" totalsRowDxfId="265"/>
    <tableColumn id="15" xr3:uid="{98B6ABE1-08F7-44EF-B262-3A9FDBEB888E}" name="14" totalsRowFunction="count" dataDxfId="264" totalsRowDxfId="263"/>
    <tableColumn id="16" xr3:uid="{215CE083-A2CA-43BC-B33B-C7C6DEC6D168}" name="15" totalsRowFunction="count" dataDxfId="262" totalsRowDxfId="261"/>
    <tableColumn id="17" xr3:uid="{EE8F4B08-B62C-4FB9-9503-E8B045DAC2E6}" name="16" totalsRowFunction="count" dataDxfId="260" totalsRowDxfId="259"/>
    <tableColumn id="18" xr3:uid="{BE4A10C8-EC02-4FBC-AF67-C4EC7D6421CA}" name="17" totalsRowFunction="count" dataDxfId="258" totalsRowDxfId="257"/>
    <tableColumn id="19" xr3:uid="{BF5B49DA-30B1-4755-AF28-406D1D72ECDF}" name="18" totalsRowFunction="count" dataDxfId="256" totalsRowDxfId="255"/>
    <tableColumn id="20" xr3:uid="{7D1F0676-A686-485E-BE7B-3EB19F78E8D9}" name="19" totalsRowFunction="count" dataDxfId="254" totalsRowDxfId="253"/>
    <tableColumn id="21" xr3:uid="{5153E9C8-6773-40E0-BB1A-AFDC37F3959B}" name="20" totalsRowFunction="count" dataDxfId="252" totalsRowDxfId="251"/>
    <tableColumn id="22" xr3:uid="{2F694B13-FE46-4B0B-95C6-240DEE0953E3}" name="21" totalsRowFunction="count" dataDxfId="250" totalsRowDxfId="249"/>
    <tableColumn id="23" xr3:uid="{1A55B094-4006-4F14-9E5A-C5E3C9800E91}" name="22" totalsRowFunction="count" dataDxfId="248" totalsRowDxfId="247"/>
    <tableColumn id="24" xr3:uid="{9DA5363E-359D-46D1-963E-2AB6F94B8E27}" name="23" totalsRowFunction="count" dataDxfId="246" totalsRowDxfId="245"/>
    <tableColumn id="25" xr3:uid="{4CA110C7-BF42-464E-8068-8428D62AF6B1}" name="24" totalsRowFunction="count" dataDxfId="244" totalsRowDxfId="243"/>
    <tableColumn id="26" xr3:uid="{D96F4ACE-40FA-43F3-95EA-470CA9CFB0A7}" name="25" totalsRowFunction="count" dataDxfId="242" totalsRowDxfId="241"/>
    <tableColumn id="27" xr3:uid="{AB70CBC1-66A0-4BD3-BC75-6279D7075BE9}" name="26" totalsRowFunction="count" dataDxfId="240" totalsRowDxfId="239"/>
    <tableColumn id="28" xr3:uid="{2344FCFD-5E45-43C1-ABA1-AA5C9FE9BCCD}" name="27" totalsRowFunction="count" dataDxfId="238" totalsRowDxfId="237"/>
    <tableColumn id="29" xr3:uid="{5E46E2E9-1ACD-46ED-BAE6-833A3B6E9E35}" name="28" totalsRowFunction="count" dataDxfId="236" totalsRowDxfId="235"/>
    <tableColumn id="30" xr3:uid="{298FB9B6-0358-4101-A8F1-DBE05E4015D7}" name="29" totalsRowFunction="count" dataDxfId="234" totalsRowDxfId="233"/>
    <tableColumn id="31" xr3:uid="{1256020F-E732-436E-819A-F398130812BD}" name="30" totalsRowFunction="count" dataDxfId="232" totalsRowDxfId="231"/>
    <tableColumn id="32" xr3:uid="{7C71A5F9-DD18-4930-846E-9911447603AF}" name=" " totalsRowFunction="count" dataDxfId="230" totalsRowDxfId="229"/>
    <tableColumn id="33" xr3:uid="{1D4538D9-3325-430E-8102-4EA2B384290D}" name="إجمالي الأيام" totalsRowFunction="sum" dataDxfId="228" totalsRowDxfId="227">
      <calculatedColumnFormula>COUNTA(سبتمبر[[#This Row],[1]:[30]])</calculatedColumnFormula>
    </tableColumn>
  </tableColumns>
  <tableStyleInfo name="جدول غياب الموظفين" showFirstColumn="1" showLastColumn="1" showRowStripes="1" showColumnStripes="0"/>
  <extLst>
    <ext xmlns:x14="http://schemas.microsoft.com/office/spreadsheetml/2009/9/main" uri="{504A1905-F514-4f6f-8877-14C23A59335A}">
      <x14:table altTextSummary="أدخل أسماء الموظفين وتواريخ الغياب. سجّل نوع الغياب حسب المفتاح في الصف 12: ع = عطلة، م = مرضي، ش = لأسباب شخصية والعنصران النائبان هما لإدخالات مخصصة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mozagy.com/&#1606;&#1605;&#1608;&#1584;&#1580;-&#1580;&#1583;&#1608;&#1604;-&#1583;&#1608;&#1575;&#1605;-&#1575;&#1604;&#1605;&#1608;&#1592;&#1601;&#1610;&#1606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namozagy.com/&#1606;&#1605;&#1608;&#1584;&#1580;-&#1580;&#1583;&#1608;&#1604;-&#1583;&#1608;&#1575;&#1605;-&#1575;&#1604;&#1605;&#1608;&#1592;&#1601;&#1610;&#1606;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3083-59E6-439D-ADE3-F111ECDEFA09}">
  <sheetPr>
    <tabColor theme="2" tint="-0.89999084444715716"/>
    <pageSetUpPr fitToPage="1"/>
  </sheetPr>
  <dimension ref="A1:AH12"/>
  <sheetViews>
    <sheetView showGridLines="0" rightToLeft="1" zoomScale="80" zoomScaleNormal="80" workbookViewId="0">
      <selection activeCell="B11" sqref="B11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4" s="6" customFormat="1" ht="50.1" customHeight="1" x14ac:dyDescent="0.2">
      <c r="A1" s="4"/>
      <c r="B1" s="26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" customHeight="1" x14ac:dyDescent="0.2">
      <c r="AH3" s="13" t="s">
        <v>16</v>
      </c>
    </row>
    <row r="4" spans="1:34" s="6" customFormat="1" ht="30" customHeight="1" x14ac:dyDescent="0.2">
      <c r="A4" s="1"/>
      <c r="B4" s="14" t="s">
        <v>17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v>2019</v>
      </c>
    </row>
    <row r="5" spans="1:34" s="6" customFormat="1" ht="15" customHeight="1" x14ac:dyDescent="0.2">
      <c r="A5" s="1"/>
      <c r="B5" s="14"/>
      <c r="C5" s="15" t="str">
        <f>TEXT(WEEKDAY(DATE(CalendarYear,1,1),1),"aaa")</f>
        <v>الثلاثاء</v>
      </c>
      <c r="D5" s="15" t="str">
        <f>TEXT(WEEKDAY(DATE(CalendarYear,1,2),1),"aaa")</f>
        <v>الأربعاء</v>
      </c>
      <c r="E5" s="15" t="str">
        <f>TEXT(WEEKDAY(DATE(CalendarYear,1,3),1),"aaa")</f>
        <v>الخميس</v>
      </c>
      <c r="F5" s="15" t="str">
        <f>TEXT(WEEKDAY(DATE(CalendarYear,1,4),1),"aaa")</f>
        <v>الجمعة</v>
      </c>
      <c r="G5" s="15" t="str">
        <f>TEXT(WEEKDAY(DATE(CalendarYear,1,5),1),"aaa")</f>
        <v>السبت</v>
      </c>
      <c r="H5" s="15" t="str">
        <f>TEXT(WEEKDAY(DATE(CalendarYear,1,6),1),"aaa")</f>
        <v>الأحد</v>
      </c>
      <c r="I5" s="15" t="str">
        <f>TEXT(WEEKDAY(DATE(CalendarYear,1,7),1),"aaa")</f>
        <v>الإثنين</v>
      </c>
      <c r="J5" s="15" t="str">
        <f>TEXT(WEEKDAY(DATE(CalendarYear,1,8),1),"aaa")</f>
        <v>الثلاثاء</v>
      </c>
      <c r="K5" s="15" t="str">
        <f>TEXT(WEEKDAY(DATE(CalendarYear,1,9),1),"aaa")</f>
        <v>الأربعاء</v>
      </c>
      <c r="L5" s="15" t="str">
        <f>TEXT(WEEKDAY(DATE(CalendarYear,1,10),1),"aaa")</f>
        <v>الخميس</v>
      </c>
      <c r="M5" s="15" t="str">
        <f>TEXT(WEEKDAY(DATE(CalendarYear,1,11),1),"aaa")</f>
        <v>الجمعة</v>
      </c>
      <c r="N5" s="15" t="str">
        <f>TEXT(WEEKDAY(DATE(CalendarYear,1,12),1),"aaa")</f>
        <v>السبت</v>
      </c>
      <c r="O5" s="15" t="str">
        <f>TEXT(WEEKDAY(DATE(CalendarYear,1,13),1),"aaa")</f>
        <v>الأحد</v>
      </c>
      <c r="P5" s="15" t="str">
        <f>TEXT(WEEKDAY(DATE(CalendarYear,1,14),1),"aaa")</f>
        <v>الإثنين</v>
      </c>
      <c r="Q5" s="15" t="str">
        <f>TEXT(WEEKDAY(DATE(CalendarYear,1,15),1),"aaa")</f>
        <v>الثلاثاء</v>
      </c>
      <c r="R5" s="15" t="str">
        <f>TEXT(WEEKDAY(DATE(CalendarYear,1,16),1),"aaa")</f>
        <v>الأربعاء</v>
      </c>
      <c r="S5" s="15" t="str">
        <f>TEXT(WEEKDAY(DATE(CalendarYear,1,17),1),"aaa")</f>
        <v>الخميس</v>
      </c>
      <c r="T5" s="15" t="str">
        <f>TEXT(WEEKDAY(DATE(CalendarYear,1,18),1),"aaa")</f>
        <v>الجمعة</v>
      </c>
      <c r="U5" s="15" t="str">
        <f>TEXT(WEEKDAY(DATE(CalendarYear,1,19),1),"aaa")</f>
        <v>السبت</v>
      </c>
      <c r="V5" s="15" t="str">
        <f>TEXT(WEEKDAY(DATE(CalendarYear,1,20),1),"aaa")</f>
        <v>الأحد</v>
      </c>
      <c r="W5" s="15" t="str">
        <f>TEXT(WEEKDAY(DATE(CalendarYear,1,21),1),"aaa")</f>
        <v>الإثنين</v>
      </c>
      <c r="X5" s="15" t="str">
        <f>TEXT(WEEKDAY(DATE(CalendarYear,1,22),1),"aaa")</f>
        <v>الثلاثاء</v>
      </c>
      <c r="Y5" s="15" t="str">
        <f>TEXT(WEEKDAY(DATE(CalendarYear,1,23),1),"aaa")</f>
        <v>الأربعاء</v>
      </c>
      <c r="Z5" s="15" t="str">
        <f>TEXT(WEEKDAY(DATE(CalendarYear,1,24),1),"aaa")</f>
        <v>الخميس</v>
      </c>
      <c r="AA5" s="15" t="str">
        <f>TEXT(WEEKDAY(DATE(CalendarYear,1,25),1),"aaa")</f>
        <v>الجمعة</v>
      </c>
      <c r="AB5" s="15" t="str">
        <f>TEXT(WEEKDAY(DATE(CalendarYear,1,26),1),"aaa")</f>
        <v>السبت</v>
      </c>
      <c r="AC5" s="15" t="str">
        <f>TEXT(WEEKDAY(DATE(CalendarYear,1,27),1),"aaa")</f>
        <v>الأحد</v>
      </c>
      <c r="AD5" s="15" t="str">
        <f>TEXT(WEEKDAY(DATE(CalendarYear,1,28),1),"aaa")</f>
        <v>الإثنين</v>
      </c>
      <c r="AE5" s="15" t="str">
        <f>TEXT(WEEKDAY(DATE(CalendarYear,1,29),1),"aaa")</f>
        <v>الثلاثاء</v>
      </c>
      <c r="AF5" s="15" t="str">
        <f>TEXT(WEEKDAY(DATE(CalendarYear,1,30),1),"aaa")</f>
        <v>الأربعاء</v>
      </c>
      <c r="AG5" s="15" t="str">
        <f>TEXT(WEEKDAY(DATE(CalendarYear,1,31),1),"aaa")</f>
        <v>الخميس</v>
      </c>
      <c r="AH5" s="14"/>
    </row>
    <row r="6" spans="1:34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</row>
    <row r="7" spans="1:34" s="6" customFormat="1" ht="30" customHeight="1" x14ac:dyDescent="0.2">
      <c r="A7" s="1"/>
      <c r="B7" s="18" t="s">
        <v>1</v>
      </c>
      <c r="C7" s="15"/>
      <c r="D7" s="15"/>
      <c r="E7" s="15" t="s">
        <v>8</v>
      </c>
      <c r="F7" s="15" t="s">
        <v>8</v>
      </c>
      <c r="G7" s="15" t="s">
        <v>8</v>
      </c>
      <c r="H7" s="15" t="s">
        <v>8</v>
      </c>
      <c r="I7" s="15"/>
      <c r="J7" s="15"/>
      <c r="K7" s="15"/>
      <c r="L7" s="15"/>
      <c r="M7" s="15"/>
      <c r="N7" s="15"/>
      <c r="O7" s="15" t="s">
        <v>8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COUNTA(يناير!$C7:$AG7)</f>
        <v>5</v>
      </c>
    </row>
    <row r="8" spans="1:34" s="6" customFormat="1" ht="30" customHeight="1" x14ac:dyDescent="0.2">
      <c r="A8" s="1"/>
      <c r="B8" s="18" t="s">
        <v>2</v>
      </c>
      <c r="C8" s="15"/>
      <c r="D8" s="15"/>
      <c r="E8" s="15"/>
      <c r="F8" s="15"/>
      <c r="G8" s="15" t="s">
        <v>12</v>
      </c>
      <c r="H8" s="15" t="s">
        <v>12</v>
      </c>
      <c r="I8" s="15"/>
      <c r="J8" s="15"/>
      <c r="K8" s="15"/>
      <c r="L8" s="15"/>
      <c r="M8" s="15" t="s">
        <v>10</v>
      </c>
      <c r="N8" s="15"/>
      <c r="O8" s="15"/>
      <c r="P8" s="15"/>
      <c r="Q8" s="15"/>
      <c r="R8" s="15"/>
      <c r="S8" s="15"/>
      <c r="T8" s="15"/>
      <c r="U8" s="15"/>
      <c r="V8" s="15" t="s">
        <v>12</v>
      </c>
      <c r="W8" s="15"/>
      <c r="X8" s="15"/>
      <c r="Y8" s="15"/>
      <c r="Z8" s="15"/>
      <c r="AA8" s="15" t="s">
        <v>8</v>
      </c>
      <c r="AB8" s="15" t="s">
        <v>8</v>
      </c>
      <c r="AC8" s="15" t="s">
        <v>8</v>
      </c>
      <c r="AD8" s="15"/>
      <c r="AE8" s="15"/>
      <c r="AF8" s="15"/>
      <c r="AG8" s="15"/>
      <c r="AH8" s="19">
        <f>COUNTA(يناير!$C8:$AG8)</f>
        <v>7</v>
      </c>
    </row>
    <row r="9" spans="1:34" s="6" customFormat="1" ht="30" customHeight="1" x14ac:dyDescent="0.2">
      <c r="A9" s="1"/>
      <c r="B9" s="18" t="s">
        <v>3</v>
      </c>
      <c r="C9" s="15"/>
      <c r="D9" s="15"/>
      <c r="E9" s="15" t="s">
        <v>10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12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 t="s">
        <v>12</v>
      </c>
      <c r="AF9" s="15"/>
      <c r="AG9" s="15"/>
      <c r="AH9" s="19">
        <f>COUNTA(يناير!$C9:$AG9)</f>
        <v>3</v>
      </c>
    </row>
    <row r="10" spans="1:34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 t="s">
        <v>10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8</v>
      </c>
      <c r="V10" s="15" t="s">
        <v>8</v>
      </c>
      <c r="W10" s="15" t="s">
        <v>8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COUNTA(يناير!$C10:$AG10)</f>
        <v>4</v>
      </c>
    </row>
    <row r="11" spans="1:34" s="6" customFormat="1" ht="30" customHeight="1" x14ac:dyDescent="0.2">
      <c r="A11" s="1"/>
      <c r="B11" s="18" t="s">
        <v>5</v>
      </c>
      <c r="C11" s="15"/>
      <c r="D11" s="15"/>
      <c r="E11" s="15"/>
      <c r="F11" s="15" t="s">
        <v>12</v>
      </c>
      <c r="G11" s="15" t="s">
        <v>8</v>
      </c>
      <c r="H11" s="15" t="s">
        <v>8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 t="s">
        <v>12</v>
      </c>
      <c r="T11" s="15"/>
      <c r="U11" s="15"/>
      <c r="V11" s="15"/>
      <c r="W11" s="15"/>
      <c r="X11" s="15"/>
      <c r="Y11" s="15"/>
      <c r="Z11" s="15" t="s">
        <v>12</v>
      </c>
      <c r="AA11" s="15"/>
      <c r="AB11" s="15"/>
      <c r="AC11" s="15"/>
      <c r="AD11" s="15"/>
      <c r="AE11" s="15"/>
      <c r="AF11" s="15"/>
      <c r="AG11" s="15" t="s">
        <v>8</v>
      </c>
      <c r="AH11" s="19">
        <f>COUNTA(يناير!$C11:$AG11)</f>
        <v>6</v>
      </c>
    </row>
    <row r="12" spans="1:34" s="6" customFormat="1" ht="30" customHeight="1" x14ac:dyDescent="0.2">
      <c r="A12" s="1"/>
      <c r="B12" s="20" t="str">
        <f>"إجمالي شهر "&amp;MonthName</f>
        <v>إجمالي شهر يناير</v>
      </c>
      <c r="C12" s="21">
        <f>SUBTOTAL(103,يناير!$C$7:$C$11)</f>
        <v>0</v>
      </c>
      <c r="D12" s="21">
        <f>SUBTOTAL(103,يناير!$D$7:$D$11)</f>
        <v>0</v>
      </c>
      <c r="E12" s="21">
        <f>SUBTOTAL(103,يناير!$E$7:$E$11)</f>
        <v>2</v>
      </c>
      <c r="F12" s="21">
        <f>SUBTOTAL(103,يناير!$F$7:$F$11)</f>
        <v>2</v>
      </c>
      <c r="G12" s="21">
        <f>SUBTOTAL(103,يناير!$G$7:$G$11)</f>
        <v>3</v>
      </c>
      <c r="H12" s="21">
        <f>SUBTOTAL(103,يناير!$H$7:$H$11)</f>
        <v>3</v>
      </c>
      <c r="I12" s="21">
        <f>SUBTOTAL(103,يناير!$I$7:$I$11)</f>
        <v>1</v>
      </c>
      <c r="J12" s="21">
        <f>SUBTOTAL(103,يناير!$J$7:$J$11)</f>
        <v>0</v>
      </c>
      <c r="K12" s="21">
        <f>SUBTOTAL(103,يناير!$K$7:$K$11)</f>
        <v>0</v>
      </c>
      <c r="L12" s="21">
        <f>SUBTOTAL(103,يناير!$L$7:$L$11)</f>
        <v>0</v>
      </c>
      <c r="M12" s="21">
        <f>SUBTOTAL(103,يناير!$M$7:$M$11)</f>
        <v>1</v>
      </c>
      <c r="N12" s="21">
        <f>SUBTOTAL(103,يناير!$N$7:$N$11)</f>
        <v>0</v>
      </c>
      <c r="O12" s="21">
        <f>SUBTOTAL(103,يناير!$O$7:$O$11)</f>
        <v>1</v>
      </c>
      <c r="P12" s="21">
        <f>SUBTOTAL(103,يناير!$P$7:$P$11)</f>
        <v>1</v>
      </c>
      <c r="Q12" s="21">
        <f>SUBTOTAL(103,يناير!$Q$7:$Q$11)</f>
        <v>0</v>
      </c>
      <c r="R12" s="21">
        <f>SUBTOTAL(103,يناير!$R$7:$R$11)</f>
        <v>0</v>
      </c>
      <c r="S12" s="21">
        <f>SUBTOTAL(103,يناير!$S$7:$S$11)</f>
        <v>1</v>
      </c>
      <c r="T12" s="21">
        <f>SUBTOTAL(103,يناير!$T$7:$T$11)</f>
        <v>0</v>
      </c>
      <c r="U12" s="21">
        <f>SUBTOTAL(103,يناير!$U$7:$U$11)</f>
        <v>1</v>
      </c>
      <c r="V12" s="21">
        <f>SUBTOTAL(103,يناير!$V$7:$V$11)</f>
        <v>2</v>
      </c>
      <c r="W12" s="21">
        <f>SUBTOTAL(103,يناير!$W$7:$W$11)</f>
        <v>1</v>
      </c>
      <c r="X12" s="21">
        <f>SUBTOTAL(103,يناير!$X$7:$X$11)</f>
        <v>0</v>
      </c>
      <c r="Y12" s="21">
        <f>SUBTOTAL(103,يناير!$Y$7:$Y$11)</f>
        <v>0</v>
      </c>
      <c r="Z12" s="21">
        <f>SUBTOTAL(103,يناير!$Z$7:$Z$11)</f>
        <v>1</v>
      </c>
      <c r="AA12" s="21">
        <f>SUBTOTAL(103,يناير!$AA$7:$AA$11)</f>
        <v>1</v>
      </c>
      <c r="AB12" s="21">
        <f>SUBTOTAL(103,يناير!$AB$7:$AB$11)</f>
        <v>1</v>
      </c>
      <c r="AC12" s="21">
        <f>SUBTOTAL(103,يناير!$AC$7:$AC$11)</f>
        <v>1</v>
      </c>
      <c r="AD12" s="21">
        <f>SUBTOTAL(103,يناير!$AD$7:$AD$11)</f>
        <v>0</v>
      </c>
      <c r="AE12" s="21">
        <f>SUBTOTAL(103,يناير!$AE$7:$AE$11)</f>
        <v>1</v>
      </c>
      <c r="AF12" s="21">
        <f>SUBTOTAL(103,يناير!$AF$7:$AF$11)</f>
        <v>0</v>
      </c>
      <c r="AG12" s="21">
        <f>SUBTOTAL(103,يناير!$AG$7:$AG$11)</f>
        <v>1</v>
      </c>
      <c r="AH12" s="21">
        <f>SUBTOTAL(109,يناير[إجمالي الأيام])</f>
        <v>25</v>
      </c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  <cfRule type="expression" dxfId="893" priority="2" stopIfTrue="1">
      <formula>C7=KeyCustom2</formula>
    </cfRule>
    <cfRule type="expression" dxfId="892" priority="3" stopIfTrue="1">
      <formula>C7=KeyCustom1</formula>
    </cfRule>
    <cfRule type="expression" dxfId="891" priority="4" stopIfTrue="1">
      <formula>C7=KeySick</formula>
    </cfRule>
    <cfRule type="expression" dxfId="890" priority="5" stopIfTrue="1">
      <formula>C7=KeyPersonal</formula>
    </cfRule>
    <cfRule type="expression" dxfId="889" priority="6" stopIfTrue="1">
      <formula>C7=KeyVacation</formula>
    </cfRule>
  </conditionalFormatting>
  <conditionalFormatting sqref="AH7:AH11">
    <cfRule type="dataBar" priority="7">
      <dataBar>
        <cfvo type="num" val="0"/>
        <cfvo type="num" val="31"/>
        <color theme="2" tint="-0.249977111117893"/>
      </dataBar>
      <extLst>
        <ext xmlns:x14="http://schemas.microsoft.com/office/spreadsheetml/2009/9/main" uri="{B025F937-C7B1-47D3-B67F-A62EFF666E3E}">
          <x14:id>{E65B0CB3-3005-445F-BADF-2F20604878C6}</x14:id>
        </ext>
      </extLst>
    </cfRule>
  </conditionalFormatting>
  <dataValidations count="15">
    <dataValidation allowBlank="1" showInputMessage="1" showErrorMessage="1" prompt="أدخل السنة في الخلية الموجودة أدناه" sqref="AH3" xr:uid="{E4C6EC2A-DD37-465D-A1E1-E6C588D2A06F}"/>
    <dataValidation allowBlank="1" showInputMessage="1" showErrorMessage="1" prompt="يتعقب &quot;جدول غياب الموظفين&quot; غياب الموظفين حسب الأيام لكل شهر. توجد 13 ورقة عمل، 12 لكل شهر من شهور السنة والأخيرة لأسماء الموظفين. تعقب الغياب في شهر يناير في ورقة العمل هذه." sqref="A1" xr:uid="{8AF61F41-7E4F-494D-939F-8C7D73DBE5CF}"/>
    <dataValidation allowBlank="1" showInputMessage="1" showErrorMessage="1" prompt="أدخل تسمية لوصف المفتاح المخصص على اليمين" sqref="O2:Q2 S2:U2" xr:uid="{3A3F8C21-9CA1-481E-A12F-04B1E0979A4F}"/>
    <dataValidation allowBlank="1" showInputMessage="1" showErrorMessage="1" prompt="أدخل حرفاً وخصّص التسمية مباشرة لإضافة عنصر مفتاحي آخر" sqref="N2 R2" xr:uid="{A33276F0-2A48-4552-A34C-37DD64CC0DE2}"/>
    <dataValidation allowBlank="1" showInputMessage="1" showErrorMessage="1" prompt="الحرف &quot;م&quot; يشير إلى الغياب بسبب المرض" sqref="K2" xr:uid="{943C7861-53B7-4EE7-8072-F3FA252FC8A2}"/>
    <dataValidation allowBlank="1" showInputMessage="1" showErrorMessage="1" prompt="الحرف &quot;ش&quot; يشير إلى الغياب لأسباب شخصية" sqref="G2" xr:uid="{839699D7-8B78-4D11-848F-5B0E192A0000}"/>
    <dataValidation allowBlank="1" showInputMessage="1" showErrorMessage="1" prompt="الحرف &quot;ع&quot; يشير إلى الغياب بسبب قضاء عطلة" sqref="C2" xr:uid="{D878F8DD-EEB3-4296-9997-44B421688289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2634925C-E72C-47B4-AE0C-05943C0C4BDA}"/>
    <dataValidation allowBlank="1" showInputMessage="1" showErrorMessage="1" prompt="شهر جدول الغياب هذا. قم بتحديث السنة في الخلية AH4. تعقب الإجماليات حسب الشهر في الخلية الأخيرة للجدول. أدخل أسماء الموظفين في العمود B للجدول." sqref="B4" xr:uid="{B8F740E1-0B5C-4AC5-BAA4-7DDDCF8E9E51}"/>
    <dataValidation allowBlank="1" showInputMessage="1" showErrorMessage="1" prompt="عنوان ورقة العمل في هذه الخلية. قم بتحديث العنوان وسينطبق التحديث تلقائياً على كل ورقة عمل." sqref="B1" xr:uid="{5589E843-1E1F-4876-939F-0EA1D3D96172}"/>
    <dataValidation allowBlank="1" showInputMessage="1" showErrorMessage="1" prompt="يتم حساب إجمالي عدد أيام غياب موظف هذا الشهر." sqref="AH6" xr:uid="{6BB30A58-FE26-4CAF-9A29-550D24612B07}"/>
    <dataValidation allowBlank="1" showInputMessage="1" showErrorMessage="1" prompt="يتم تحديث أيام الأسبوع تلقائياً في هذا الصف للشهر وفقاً للسنة التي تم إدخالها في AH4. وكل يوم في الشهر هو عمود لتدوين غياب الموظف ونوع الغياب." sqref="C5" xr:uid="{27883E82-9382-4BAA-80F3-F8E5E6F056A2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B8F455FE-5B27-471C-98F1-10AD0B43F645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D2176C5E-E0CC-4082-AFE8-ADFA7FEB4C45}"/>
    <dataValidation allowBlank="1" showInputMessage="1" showErrorMessage="1" prompt="أدخل السنة في هذه الخلية" sqref="AH4" xr:uid="{83AA48B6-73F6-4084-BC06-8EDEDB73DE18}"/>
  </dataValidations>
  <hyperlinks>
    <hyperlink ref="B1" r:id="rId1" xr:uid="{B639FFB5-AFBD-43C8-942E-566957DA5A3D}"/>
  </hyperlinks>
  <printOptions horizontalCentered="1"/>
  <pageMargins left="0.25" right="0.25" top="0.75" bottom="0.75" header="0.3" footer="0.3"/>
  <pageSetup paperSize="9" scale="53" fitToHeight="0" orientation="landscape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5B0CB3-3005-445F-BADF-2F20604878C6}">
            <x14:dataBar minLength="0" maxLength="100">
              <x14:cfvo type="num">
                <xm:f>0</xm:f>
              </x14:cfvo>
              <x14:cfvo type="num">
                <xm:f>31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ED86-7B97-412D-A39B-68E5456AFB7A}">
  <sheetPr>
    <tabColor theme="2" tint="-0.249977111117893"/>
    <pageSetUpPr fitToPage="1"/>
  </sheetPr>
  <dimension ref="A1:AI12"/>
  <sheetViews>
    <sheetView showGridLines="0" rightToLeft="1" zoomScale="70" zoomScaleNormal="70" workbookViewId="0">
      <selection activeCell="N17" sqref="N17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62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TEXT(WEEKDAY(DATE(CalendarYear,10,1),1),"aaa")</f>
        <v>الثلاثاء</v>
      </c>
      <c r="D5" s="15" t="str">
        <f>TEXT(WEEKDAY(DATE(CalendarYear,10,2),1),"aaa")</f>
        <v>الأربعاء</v>
      </c>
      <c r="E5" s="15" t="str">
        <f>TEXT(WEEKDAY(DATE(CalendarYear,10,3),1),"aaa")</f>
        <v>الخميس</v>
      </c>
      <c r="F5" s="15" t="str">
        <f>TEXT(WEEKDAY(DATE(CalendarYear,10,4),1),"aaa")</f>
        <v>الجمعة</v>
      </c>
      <c r="G5" s="15" t="str">
        <f>TEXT(WEEKDAY(DATE(CalendarYear,10,5),1),"aaa")</f>
        <v>السبت</v>
      </c>
      <c r="H5" s="15" t="str">
        <f>TEXT(WEEKDAY(DATE(CalendarYear,10,6),1),"aaa")</f>
        <v>الأحد</v>
      </c>
      <c r="I5" s="15" t="str">
        <f>TEXT(WEEKDAY(DATE(CalendarYear,10,7),1),"aaa")</f>
        <v>الإثنين</v>
      </c>
      <c r="J5" s="15" t="str">
        <f>TEXT(WEEKDAY(DATE(CalendarYear,10,8),1),"aaa")</f>
        <v>الثلاثاء</v>
      </c>
      <c r="K5" s="15" t="str">
        <f>TEXT(WEEKDAY(DATE(CalendarYear,10,9),1),"aaa")</f>
        <v>الأربعاء</v>
      </c>
      <c r="L5" s="15" t="str">
        <f>TEXT(WEEKDAY(DATE(CalendarYear,10,10),1),"aaa")</f>
        <v>الخميس</v>
      </c>
      <c r="M5" s="15" t="str">
        <f>TEXT(WEEKDAY(DATE(CalendarYear,10,11),1),"aaa")</f>
        <v>الجمعة</v>
      </c>
      <c r="N5" s="15" t="str">
        <f>TEXT(WEEKDAY(DATE(CalendarYear,10,12),1),"aaa")</f>
        <v>السبت</v>
      </c>
      <c r="O5" s="15" t="str">
        <f>TEXT(WEEKDAY(DATE(CalendarYear,10,13),1),"aaa")</f>
        <v>الأحد</v>
      </c>
      <c r="P5" s="15" t="str">
        <f>TEXT(WEEKDAY(DATE(CalendarYear,10,14),1),"aaa")</f>
        <v>الإثنين</v>
      </c>
      <c r="Q5" s="15" t="str">
        <f>TEXT(WEEKDAY(DATE(CalendarYear,10,15),1),"aaa")</f>
        <v>الثلاثاء</v>
      </c>
      <c r="R5" s="15" t="str">
        <f>TEXT(WEEKDAY(DATE(CalendarYear,10,16),1),"aaa")</f>
        <v>الأربعاء</v>
      </c>
      <c r="S5" s="15" t="str">
        <f>TEXT(WEEKDAY(DATE(CalendarYear,10,17),1),"aaa")</f>
        <v>الخميس</v>
      </c>
      <c r="T5" s="15" t="str">
        <f>TEXT(WEEKDAY(DATE(CalendarYear,10,18),1),"aaa")</f>
        <v>الجمعة</v>
      </c>
      <c r="U5" s="15" t="str">
        <f>TEXT(WEEKDAY(DATE(CalendarYear,10,19),1),"aaa")</f>
        <v>السبت</v>
      </c>
      <c r="V5" s="15" t="str">
        <f>TEXT(WEEKDAY(DATE(CalendarYear,10,20),1),"aaa")</f>
        <v>الأحد</v>
      </c>
      <c r="W5" s="15" t="str">
        <f>TEXT(WEEKDAY(DATE(CalendarYear,10,21),1),"aaa")</f>
        <v>الإثنين</v>
      </c>
      <c r="X5" s="15" t="str">
        <f>TEXT(WEEKDAY(DATE(CalendarYear,10,22),1),"aaa")</f>
        <v>الثلاثاء</v>
      </c>
      <c r="Y5" s="15" t="str">
        <f>TEXT(WEEKDAY(DATE(CalendarYear,10,23),1),"aaa")</f>
        <v>الأربعاء</v>
      </c>
      <c r="Z5" s="15" t="str">
        <f>TEXT(WEEKDAY(DATE(CalendarYear,10,24),1),"aaa")</f>
        <v>الخميس</v>
      </c>
      <c r="AA5" s="15" t="str">
        <f>TEXT(WEEKDAY(DATE(CalendarYear,10,25),1),"aaa")</f>
        <v>الجمعة</v>
      </c>
      <c r="AB5" s="15" t="str">
        <f>TEXT(WEEKDAY(DATE(CalendarYear,10,26),1),"aaa")</f>
        <v>السبت</v>
      </c>
      <c r="AC5" s="15" t="str">
        <f>TEXT(WEEKDAY(DATE(CalendarYear,10,27),1),"aaa")</f>
        <v>الأحد</v>
      </c>
      <c r="AD5" s="15" t="str">
        <f>TEXT(WEEKDAY(DATE(CalendarYear,10,28),1),"aaa")</f>
        <v>الإثنين</v>
      </c>
      <c r="AE5" s="15" t="str">
        <f>TEXT(WEEKDAY(DATE(CalendarYear,10,29),1),"aaa")</f>
        <v>الثلاثاء</v>
      </c>
      <c r="AF5" s="15" t="str">
        <f>TEXT(WEEKDAY(DATE(CalendarYear,10,30),1),"aaa")</f>
        <v>الأربعاء</v>
      </c>
      <c r="AG5" s="15" t="str">
        <f>TEXT(WEEKDAY(DATE(CalendarYear,10,31),1),"aaa")</f>
        <v>الخميس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COUNTA(أكتوبر[[#This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COUNTA(أكتوبر[[#This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COUNTA(أكتوبر[[#This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COUNTA(أكتوبر[[#This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COUNTA(أكتوبر[[#This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أكتوبر</v>
      </c>
      <c r="C12" s="21">
        <f>SUBTOTAL(103,أكتوبر[1])</f>
        <v>0</v>
      </c>
      <c r="D12" s="21">
        <f>SUBTOTAL(103,أكتوبر[2])</f>
        <v>0</v>
      </c>
      <c r="E12" s="21">
        <f>SUBTOTAL(103,أكتوبر[3])</f>
        <v>0</v>
      </c>
      <c r="F12" s="21">
        <f>SUBTOTAL(103,أكتوبر[4])</f>
        <v>0</v>
      </c>
      <c r="G12" s="21">
        <f>SUBTOTAL(103,أكتوبر[5])</f>
        <v>0</v>
      </c>
      <c r="H12" s="21">
        <f>SUBTOTAL(103,أكتوبر[6])</f>
        <v>0</v>
      </c>
      <c r="I12" s="21">
        <f>SUBTOTAL(103,أكتوبر[7])</f>
        <v>0</v>
      </c>
      <c r="J12" s="21">
        <f>SUBTOTAL(103,أكتوبر[8])</f>
        <v>0</v>
      </c>
      <c r="K12" s="21">
        <f>SUBTOTAL(103,أكتوبر[9])</f>
        <v>0</v>
      </c>
      <c r="L12" s="21">
        <f>SUBTOTAL(103,أكتوبر[10])</f>
        <v>0</v>
      </c>
      <c r="M12" s="21">
        <f>SUBTOTAL(103,أكتوبر[11])</f>
        <v>0</v>
      </c>
      <c r="N12" s="21">
        <f>SUBTOTAL(103,أكتوبر[12])</f>
        <v>0</v>
      </c>
      <c r="O12" s="21">
        <f>SUBTOTAL(103,أكتوبر[13])</f>
        <v>0</v>
      </c>
      <c r="P12" s="21">
        <f>SUBTOTAL(103,أكتوبر[14])</f>
        <v>0</v>
      </c>
      <c r="Q12" s="21">
        <f>SUBTOTAL(103,أكتوبر[15])</f>
        <v>0</v>
      </c>
      <c r="R12" s="21">
        <f>SUBTOTAL(103,أكتوبر[16])</f>
        <v>0</v>
      </c>
      <c r="S12" s="21">
        <f>SUBTOTAL(103,أكتوبر[17])</f>
        <v>0</v>
      </c>
      <c r="T12" s="21">
        <f>SUBTOTAL(103,أكتوبر[18])</f>
        <v>0</v>
      </c>
      <c r="U12" s="21">
        <f>SUBTOTAL(103,أكتوبر[19])</f>
        <v>0</v>
      </c>
      <c r="V12" s="21">
        <f>SUBTOTAL(103,أكتوبر[20])</f>
        <v>0</v>
      </c>
      <c r="W12" s="21">
        <f>SUBTOTAL(103,أكتوبر[21])</f>
        <v>0</v>
      </c>
      <c r="X12" s="21">
        <f>SUBTOTAL(103,أكتوبر[22])</f>
        <v>0</v>
      </c>
      <c r="Y12" s="21">
        <f>SUBTOTAL(103,أكتوبر[23])</f>
        <v>0</v>
      </c>
      <c r="Z12" s="21">
        <f>SUBTOTAL(103,أكتوبر[24])</f>
        <v>0</v>
      </c>
      <c r="AA12" s="21">
        <f>SUBTOTAL(103,أكتوبر[25])</f>
        <v>0</v>
      </c>
      <c r="AB12" s="21">
        <f>SUBTOTAL(103,أكتوبر[26])</f>
        <v>0</v>
      </c>
      <c r="AC12" s="21">
        <f>SUBTOTAL(103,أكتوبر[27])</f>
        <v>0</v>
      </c>
      <c r="AD12" s="21">
        <f>SUBTOTAL(103,أكتوبر[28])</f>
        <v>0</v>
      </c>
      <c r="AE12" s="21">
        <f>SUBTOTAL(103,أكتوبر[29])</f>
        <v>0</v>
      </c>
      <c r="AF12" s="21">
        <f>SUBTOTAL(103,أكتوبر[30])</f>
        <v>0</v>
      </c>
      <c r="AG12" s="21">
        <f>SUBTOTAL(103,أكتوبر[31])</f>
        <v>0</v>
      </c>
      <c r="AH12" s="21">
        <f>SUBTOTAL(109,أكتوبر[إجمالي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226" priority="2" stopIfTrue="1">
      <formula>C7=KeyCustom2</formula>
    </cfRule>
    <cfRule type="expression" dxfId="225" priority="3" stopIfTrue="1">
      <formula>C7=KeyCustom1</formula>
    </cfRule>
    <cfRule type="expression" dxfId="224" priority="4" stopIfTrue="1">
      <formula>C7=KeySick</formula>
    </cfRule>
    <cfRule type="expression" dxfId="223" priority="5" stopIfTrue="1">
      <formula>C7=KeyPersonal</formula>
    </cfRule>
    <cfRule type="expression" dxfId="222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{B7664B16-C5A1-4C7F-9BE3-4E61EDCB75DA}</x14:id>
        </ext>
      </extLst>
    </cfRule>
  </conditionalFormatting>
  <dataValidations count="14"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F67F9067-3B82-4A86-986E-BFC25349DAAD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4CEC0B85-D1D3-42E8-A524-9BDF8EB0A315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32EEAE0A-B49F-4776-A2AA-897BA7C3E04B}"/>
    <dataValidation allowBlank="1" showInputMessage="1" showErrorMessage="1" prompt="أدخل تسمية لوصف المفتاح المخصص على اليمين" sqref="O2:Q2 S2:U2" xr:uid="{72E92335-1F15-4073-98D7-B33D7CD4D882}"/>
    <dataValidation allowBlank="1" showInputMessage="1" showErrorMessage="1" prompt="أدخل حرفاً وخصّص التسمية مباشرة لإضافة عنصر مفتاحي آخر" sqref="N2 R2" xr:uid="{0E206630-985F-4E35-A09C-7355F7759D46}"/>
    <dataValidation allowBlank="1" showInputMessage="1" showErrorMessage="1" prompt="الحرف &quot;م&quot; يشير إلى الغياب بسبب المرض" sqref="K2" xr:uid="{171FB903-274A-46E8-AED4-9884C39DF7CE}"/>
    <dataValidation allowBlank="1" showInputMessage="1" showErrorMessage="1" prompt="الحرف &quot;ش&quot; يشير إلى الغياب لأسباب شخصية" sqref="G2" xr:uid="{3F6B87CE-902D-4CA2-83AF-A1E5A783CBF0}"/>
    <dataValidation allowBlank="1" showInputMessage="1" showErrorMessage="1" prompt="الحرف &quot;ع&quot; يشير إلى الغياب بسبب قضاء عطلة" sqref="C2" xr:uid="{7CC8EC99-0759-47EE-95BC-930D2B106E10}"/>
    <dataValidation allowBlank="1" showInputMessage="1" showErrorMessage="1" prompt="عنوان محدّث تلقائياً في هذه الخلية. لتعديل العنوان، قم بتحديث B1 في ورقة العمل &quot;يناير&quot;." sqref="B1" xr:uid="{5056725B-4132-40BE-BDEA-55882DA440A7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8BF93988-B15D-4CF0-91DE-91F383C4D422}"/>
    <dataValidation allowBlank="1" showInputMessage="1" showErrorMessage="1" prompt="تعقب الغياب في شهر أكتوبر في ورقة العمل هذه" sqref="A1" xr:uid="{6F7D85D3-421D-4CF3-AF2E-F7BC01F61925}"/>
    <dataValidation allowBlank="1" showInputMessage="1" showErrorMessage="1" prompt="يتم حساب إجمالي عدد أيام غياب موظف هذا الشهر في هذا العمود تلقائياً" sqref="AH6" xr:uid="{98FC6639-C491-4320-B686-E1A1929D44E8}"/>
    <dataValidation allowBlank="1" showInputMessage="1" showErrorMessage="1" prompt="سنة محدّثة تلقائياً استناداً إلى السنة التي تم إدخالها في ورقة عمل &quot;يناير&quot;." sqref="AH4" xr:uid="{F84CDCE3-618C-47FC-9159-646564B1C58A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705CF927-11E4-47DB-AEE6-00A659FDF859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664B16-C5A1-4C7F-9BE3-4E61EDCB75DA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3D53-9AA4-4C49-8F63-56A70B6CE0DD}">
  <sheetPr>
    <tabColor theme="2" tint="-0.249977111117893"/>
    <pageSetUpPr fitToPage="1"/>
  </sheetPr>
  <dimension ref="A1:AI12"/>
  <sheetViews>
    <sheetView showGridLines="0" rightToLeft="1" zoomScale="70" zoomScaleNormal="70" workbookViewId="0">
      <selection activeCell="P15" sqref="P15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63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TEXT(WEEKDAY(DATE(CalendarYear,11,1),1),"aaa")</f>
        <v>الجمعة</v>
      </c>
      <c r="D5" s="15" t="str">
        <f>TEXT(WEEKDAY(DATE(CalendarYear,11,2),1),"aaa")</f>
        <v>السبت</v>
      </c>
      <c r="E5" s="15" t="str">
        <f>TEXT(WEEKDAY(DATE(CalendarYear,11,3),1),"aaa")</f>
        <v>الأحد</v>
      </c>
      <c r="F5" s="15" t="str">
        <f>TEXT(WEEKDAY(DATE(CalendarYear,11,4),1),"aaa")</f>
        <v>الإثنين</v>
      </c>
      <c r="G5" s="15" t="str">
        <f>TEXT(WEEKDAY(DATE(CalendarYear,11,5),1),"aaa")</f>
        <v>الثلاثاء</v>
      </c>
      <c r="H5" s="15" t="str">
        <f>TEXT(WEEKDAY(DATE(CalendarYear,11,6),1),"aaa")</f>
        <v>الأربعاء</v>
      </c>
      <c r="I5" s="15" t="str">
        <f>TEXT(WEEKDAY(DATE(CalendarYear,11,7),1),"aaa")</f>
        <v>الخميس</v>
      </c>
      <c r="J5" s="15" t="str">
        <f>TEXT(WEEKDAY(DATE(CalendarYear,11,8),1),"aaa")</f>
        <v>الجمعة</v>
      </c>
      <c r="K5" s="15" t="str">
        <f>TEXT(WEEKDAY(DATE(CalendarYear,11,9),1),"aaa")</f>
        <v>السبت</v>
      </c>
      <c r="L5" s="15" t="str">
        <f>TEXT(WEEKDAY(DATE(CalendarYear,11,10),1),"aaa")</f>
        <v>الأحد</v>
      </c>
      <c r="M5" s="15" t="str">
        <f>TEXT(WEEKDAY(DATE(CalendarYear,11,11),1),"aaa")</f>
        <v>الإثنين</v>
      </c>
      <c r="N5" s="15" t="str">
        <f>TEXT(WEEKDAY(DATE(CalendarYear,11,12),1),"aaa")</f>
        <v>الثلاثاء</v>
      </c>
      <c r="O5" s="15" t="str">
        <f>TEXT(WEEKDAY(DATE(CalendarYear,11,13),1),"aaa")</f>
        <v>الأربعاء</v>
      </c>
      <c r="P5" s="15" t="str">
        <f>TEXT(WEEKDAY(DATE(CalendarYear,11,14),1),"aaa")</f>
        <v>الخميس</v>
      </c>
      <c r="Q5" s="15" t="str">
        <f>TEXT(WEEKDAY(DATE(CalendarYear,11,15),1),"aaa")</f>
        <v>الجمعة</v>
      </c>
      <c r="R5" s="15" t="str">
        <f>TEXT(WEEKDAY(DATE(CalendarYear,11,16),1),"aaa")</f>
        <v>السبت</v>
      </c>
      <c r="S5" s="15" t="str">
        <f>TEXT(WEEKDAY(DATE(CalendarYear,11,17),1),"aaa")</f>
        <v>الأحد</v>
      </c>
      <c r="T5" s="15" t="str">
        <f>TEXT(WEEKDAY(DATE(CalendarYear,11,18),1),"aaa")</f>
        <v>الإثنين</v>
      </c>
      <c r="U5" s="15" t="str">
        <f>TEXT(WEEKDAY(DATE(CalendarYear,11,19),1),"aaa")</f>
        <v>الثلاثاء</v>
      </c>
      <c r="V5" s="15" t="str">
        <f>TEXT(WEEKDAY(DATE(CalendarYear,11,20),1),"aaa")</f>
        <v>الأربعاء</v>
      </c>
      <c r="W5" s="15" t="str">
        <f>TEXT(WEEKDAY(DATE(CalendarYear,11,21),1),"aaa")</f>
        <v>الخميس</v>
      </c>
      <c r="X5" s="15" t="str">
        <f>TEXT(WEEKDAY(DATE(CalendarYear,11,22),1),"aaa")</f>
        <v>الجمعة</v>
      </c>
      <c r="Y5" s="15" t="str">
        <f>TEXT(WEEKDAY(DATE(CalendarYear,11,23),1),"aaa")</f>
        <v>السبت</v>
      </c>
      <c r="Z5" s="15" t="str">
        <f>TEXT(WEEKDAY(DATE(CalendarYear,11,24),1),"aaa")</f>
        <v>الأحد</v>
      </c>
      <c r="AA5" s="15" t="str">
        <f>TEXT(WEEKDAY(DATE(CalendarYear,11,25),1),"aaa")</f>
        <v>الإثنين</v>
      </c>
      <c r="AB5" s="15" t="str">
        <f>TEXT(WEEKDAY(DATE(CalendarYear,11,26),1),"aaa")</f>
        <v>الثلاثاء</v>
      </c>
      <c r="AC5" s="15" t="str">
        <f>TEXT(WEEKDAY(DATE(CalendarYear,11,27),1),"aaa")</f>
        <v>الأربعاء</v>
      </c>
      <c r="AD5" s="15" t="str">
        <f>TEXT(WEEKDAY(DATE(CalendarYear,11,28),1),"aaa")</f>
        <v>الخميس</v>
      </c>
      <c r="AE5" s="15" t="str">
        <f>TEXT(WEEKDAY(DATE(CalendarYear,11,29),1),"aaa")</f>
        <v>الجمعة</v>
      </c>
      <c r="AF5" s="15" t="str">
        <f>TEXT(WEEKDAY(DATE(CalendarYear,11,30),1),"aaa")</f>
        <v>السبت</v>
      </c>
      <c r="AG5" s="15"/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53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COUNTA(نوفمبر[[#This Row],[1]:[30]])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COUNTA(نوفمبر[[#This Row],[1]:[30]])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COUNTA(نوفمبر[[#This Row],[1]:[30]])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COUNTA(نوفمبر[[#This Row],[1]:[30]])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COUNTA(نوفمبر[[#This Row],[1]:[30]])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نوفمبر</v>
      </c>
      <c r="C12" s="21">
        <f>SUBTOTAL(103,نوفمبر[1])</f>
        <v>0</v>
      </c>
      <c r="D12" s="21">
        <f>SUBTOTAL(103,نوفمبر[2])</f>
        <v>0</v>
      </c>
      <c r="E12" s="21">
        <f>SUBTOTAL(103,نوفمبر[3])</f>
        <v>0</v>
      </c>
      <c r="F12" s="21">
        <f>SUBTOTAL(103,نوفمبر[4])</f>
        <v>0</v>
      </c>
      <c r="G12" s="21">
        <f>SUBTOTAL(103,نوفمبر[5])</f>
        <v>0</v>
      </c>
      <c r="H12" s="21">
        <f>SUBTOTAL(103,نوفمبر[6])</f>
        <v>0</v>
      </c>
      <c r="I12" s="21">
        <f>SUBTOTAL(103,نوفمبر[7])</f>
        <v>0</v>
      </c>
      <c r="J12" s="21">
        <f>SUBTOTAL(103,نوفمبر[8])</f>
        <v>0</v>
      </c>
      <c r="K12" s="21">
        <f>SUBTOTAL(103,نوفمبر[9])</f>
        <v>0</v>
      </c>
      <c r="L12" s="21">
        <f>SUBTOTAL(103,نوفمبر[10])</f>
        <v>0</v>
      </c>
      <c r="M12" s="21">
        <f>SUBTOTAL(103,نوفمبر[11])</f>
        <v>0</v>
      </c>
      <c r="N12" s="21">
        <f>SUBTOTAL(103,نوفمبر[12])</f>
        <v>0</v>
      </c>
      <c r="O12" s="21">
        <f>SUBTOTAL(103,نوفمبر[13])</f>
        <v>0</v>
      </c>
      <c r="P12" s="21">
        <f>SUBTOTAL(103,نوفمبر[14])</f>
        <v>0</v>
      </c>
      <c r="Q12" s="21">
        <f>SUBTOTAL(103,نوفمبر[15])</f>
        <v>0</v>
      </c>
      <c r="R12" s="21">
        <f>SUBTOTAL(103,نوفمبر[16])</f>
        <v>0</v>
      </c>
      <c r="S12" s="21">
        <f>SUBTOTAL(103,نوفمبر[17])</f>
        <v>0</v>
      </c>
      <c r="T12" s="21">
        <f>SUBTOTAL(103,نوفمبر[18])</f>
        <v>0</v>
      </c>
      <c r="U12" s="21">
        <f>SUBTOTAL(103,نوفمبر[19])</f>
        <v>0</v>
      </c>
      <c r="V12" s="21">
        <f>SUBTOTAL(103,نوفمبر[20])</f>
        <v>0</v>
      </c>
      <c r="W12" s="21">
        <f>SUBTOTAL(103,نوفمبر[21])</f>
        <v>0</v>
      </c>
      <c r="X12" s="21">
        <f>SUBTOTAL(103,نوفمبر[22])</f>
        <v>0</v>
      </c>
      <c r="Y12" s="21">
        <f>SUBTOTAL(103,نوفمبر[23])</f>
        <v>0</v>
      </c>
      <c r="Z12" s="21">
        <f>SUBTOTAL(103,نوفمبر[24])</f>
        <v>0</v>
      </c>
      <c r="AA12" s="21">
        <f>SUBTOTAL(103,نوفمبر[25])</f>
        <v>0</v>
      </c>
      <c r="AB12" s="21">
        <f>SUBTOTAL(103,نوفمبر[26])</f>
        <v>0</v>
      </c>
      <c r="AC12" s="21">
        <f>SUBTOTAL(103,نوفمبر[27])</f>
        <v>0</v>
      </c>
      <c r="AD12" s="21">
        <f>SUBTOTAL(103,نوفمبر[28])</f>
        <v>0</v>
      </c>
      <c r="AE12" s="21">
        <f>SUBTOTAL(103,نوفمبر[29])</f>
        <v>0</v>
      </c>
      <c r="AF12" s="21">
        <f>SUBTOTAL(103,نوفمبر[30])</f>
        <v>0</v>
      </c>
      <c r="AG12" s="21">
        <f>SUBTOTAL(103,نوفمبر[[ ]])</f>
        <v>0</v>
      </c>
      <c r="AH12" s="21">
        <f>SUBTOTAL(109,نوفمبر[إجمالي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152" priority="2" stopIfTrue="1">
      <formula>C7=KeyCustom2</formula>
    </cfRule>
    <cfRule type="expression" dxfId="151" priority="3" stopIfTrue="1">
      <formula>C7=KeyCustom1</formula>
    </cfRule>
    <cfRule type="expression" dxfId="150" priority="4" stopIfTrue="1">
      <formula>C7=KeySick</formula>
    </cfRule>
    <cfRule type="expression" dxfId="149" priority="5" stopIfTrue="1">
      <formula>C7=KeyPersonal</formula>
    </cfRule>
    <cfRule type="expression" dxfId="148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{A86BEB24-65D0-48B4-BF88-88E17E88B30F}</x14:id>
        </ext>
      </extLst>
    </cfRule>
  </conditionalFormatting>
  <dataValidations count="14"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ABB8F53C-7B73-492F-8BFE-0764FA497B87}"/>
    <dataValidation allowBlank="1" showInputMessage="1" showErrorMessage="1" prompt="سنة محدّثة تلقائياً استناداً إلى السنة التي تم إدخالها في ورقة عمل &quot;يناير&quot;." sqref="AH4" xr:uid="{ECC78CCB-87B4-40CB-88CE-376EBA69F5DC}"/>
    <dataValidation allowBlank="1" showInputMessage="1" showErrorMessage="1" prompt="يتم حساب إجمالي عدد أيام غياب موظف هذا الشهر في هذا العمود تلقائياً" sqref="AH6" xr:uid="{54B6688A-C6E3-41AE-962F-3B4C85BB9B85}"/>
    <dataValidation allowBlank="1" showInputMessage="1" showErrorMessage="1" prompt="تعقب الغياب في شهر نوفمبر في ورقة العمل هذه" sqref="A1" xr:uid="{4E75BFA6-C9B7-4F11-87E5-CF04543D1537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F3BFE047-C51F-4564-B9F8-BEF0F02D49C6}"/>
    <dataValidation allowBlank="1" showInputMessage="1" showErrorMessage="1" prompt="عنوان محدّث تلقائياً في هذه الخلية. لتعديل العنوان، قم بتحديث B1 في ورقة العمل &quot;يناير&quot;." sqref="B1" xr:uid="{EDE2E594-3977-4B83-8BA3-E33460D487AD}"/>
    <dataValidation allowBlank="1" showInputMessage="1" showErrorMessage="1" prompt="الحرف &quot;ع&quot; يشير إلى الغياب بسبب قضاء عطلة" sqref="C2" xr:uid="{9E1CC272-69E6-4E2E-8309-9E3BDB7F30DE}"/>
    <dataValidation allowBlank="1" showInputMessage="1" showErrorMessage="1" prompt="الحرف &quot;ش&quot; يشير إلى الغياب لأسباب شخصية" sqref="G2" xr:uid="{5A48D0B3-2E9E-4187-BB08-FFF62D553F41}"/>
    <dataValidation allowBlank="1" showInputMessage="1" showErrorMessage="1" prompt="الحرف &quot;م&quot; يشير إلى الغياب بسبب المرض" sqref="K2" xr:uid="{009E9645-0EC1-4E70-885A-87538BA8DB09}"/>
    <dataValidation allowBlank="1" showInputMessage="1" showErrorMessage="1" prompt="أدخل حرفاً وخصّص التسمية مباشرة لإضافة عنصر مفتاحي آخر" sqref="N2 R2" xr:uid="{A1FAB9D2-1CB2-49A5-BA89-300CD1CF5A79}"/>
    <dataValidation allowBlank="1" showInputMessage="1" showErrorMessage="1" prompt="أدخل تسمية لوصف المفتاح المخصص على اليمين" sqref="O2:Q2 S2:U2" xr:uid="{1F13B4B7-5F9C-4766-A30C-217E023804E0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3EBC7309-47C4-44E9-9F05-2CBA979F8C5F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758806B8-B9D1-472D-A0CC-785832FF1955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3439C373-ACA8-477D-96C5-2AD1CD2A6A69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6BEB24-65D0-48B4-BF88-88E17E88B30F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17D8-A2F3-4E55-AE93-41129F2A0C44}">
  <sheetPr>
    <tabColor theme="7" tint="0.79998168889431442"/>
    <pageSetUpPr fitToPage="1"/>
  </sheetPr>
  <dimension ref="A1:AI12"/>
  <sheetViews>
    <sheetView showGridLines="0" rightToLeft="1" zoomScale="70" zoomScaleNormal="70" workbookViewId="0">
      <selection activeCell="Q14" sqref="Q14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64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TEXT(WEEKDAY(DATE(CalendarYear,12,1),1),"aaa")</f>
        <v>الأحد</v>
      </c>
      <c r="D5" s="15" t="str">
        <f>TEXT(WEEKDAY(DATE(CalendarYear,12,2),1),"aaa")</f>
        <v>الإثنين</v>
      </c>
      <c r="E5" s="15" t="str">
        <f>TEXT(WEEKDAY(DATE(CalendarYear,12,3),1),"aaa")</f>
        <v>الثلاثاء</v>
      </c>
      <c r="F5" s="15" t="str">
        <f>TEXT(WEEKDAY(DATE(CalendarYear,12,4),1),"aaa")</f>
        <v>الأربعاء</v>
      </c>
      <c r="G5" s="15" t="str">
        <f>TEXT(WEEKDAY(DATE(CalendarYear,12,5),1),"aaa")</f>
        <v>الخميس</v>
      </c>
      <c r="H5" s="15" t="str">
        <f>TEXT(WEEKDAY(DATE(CalendarYear,12,6),1),"aaa")</f>
        <v>الجمعة</v>
      </c>
      <c r="I5" s="15" t="str">
        <f>TEXT(WEEKDAY(DATE(CalendarYear,12,7),1),"aaa")</f>
        <v>السبت</v>
      </c>
      <c r="J5" s="15" t="str">
        <f>TEXT(WEEKDAY(DATE(CalendarYear,12,8),1),"aaa")</f>
        <v>الأحد</v>
      </c>
      <c r="K5" s="15" t="str">
        <f>TEXT(WEEKDAY(DATE(CalendarYear,12,9),1),"aaa")</f>
        <v>الإثنين</v>
      </c>
      <c r="L5" s="15" t="str">
        <f>TEXT(WEEKDAY(DATE(CalendarYear,12,10),1),"aaa")</f>
        <v>الثلاثاء</v>
      </c>
      <c r="M5" s="15" t="str">
        <f>TEXT(WEEKDAY(DATE(CalendarYear,12,11),1),"aaa")</f>
        <v>الأربعاء</v>
      </c>
      <c r="N5" s="15" t="str">
        <f>TEXT(WEEKDAY(DATE(CalendarYear,12,12),1),"aaa")</f>
        <v>الخميس</v>
      </c>
      <c r="O5" s="15" t="str">
        <f>TEXT(WEEKDAY(DATE(CalendarYear,12,13),1),"aaa")</f>
        <v>الجمعة</v>
      </c>
      <c r="P5" s="15" t="str">
        <f>TEXT(WEEKDAY(DATE(CalendarYear,12,14),1),"aaa")</f>
        <v>السبت</v>
      </c>
      <c r="Q5" s="15" t="str">
        <f>TEXT(WEEKDAY(DATE(CalendarYear,12,15),1),"aaa")</f>
        <v>الأحد</v>
      </c>
      <c r="R5" s="15" t="str">
        <f>TEXT(WEEKDAY(DATE(CalendarYear,12,16),1),"aaa")</f>
        <v>الإثنين</v>
      </c>
      <c r="S5" s="15" t="str">
        <f>TEXT(WEEKDAY(DATE(CalendarYear,12,17),1),"aaa")</f>
        <v>الثلاثاء</v>
      </c>
      <c r="T5" s="15" t="str">
        <f>TEXT(WEEKDAY(DATE(CalendarYear,12,18),1),"aaa")</f>
        <v>الأربعاء</v>
      </c>
      <c r="U5" s="15" t="str">
        <f>TEXT(WEEKDAY(DATE(CalendarYear,12,19),1),"aaa")</f>
        <v>الخميس</v>
      </c>
      <c r="V5" s="15" t="str">
        <f>TEXT(WEEKDAY(DATE(CalendarYear,12,20),1),"aaa")</f>
        <v>الجمعة</v>
      </c>
      <c r="W5" s="15" t="str">
        <f>TEXT(WEEKDAY(DATE(CalendarYear,12,21),1),"aaa")</f>
        <v>السبت</v>
      </c>
      <c r="X5" s="15" t="str">
        <f>TEXT(WEEKDAY(DATE(CalendarYear,12,22),1),"aaa")</f>
        <v>الأحد</v>
      </c>
      <c r="Y5" s="15" t="str">
        <f>TEXT(WEEKDAY(DATE(CalendarYear,12,23),1),"aaa")</f>
        <v>الإثنين</v>
      </c>
      <c r="Z5" s="15" t="str">
        <f>TEXT(WEEKDAY(DATE(CalendarYear,12,24),1),"aaa")</f>
        <v>الثلاثاء</v>
      </c>
      <c r="AA5" s="15" t="str">
        <f>TEXT(WEEKDAY(DATE(CalendarYear,12,25),1),"aaa")</f>
        <v>الأربعاء</v>
      </c>
      <c r="AB5" s="15" t="str">
        <f>TEXT(WEEKDAY(DATE(CalendarYear,12,26),1),"aaa")</f>
        <v>الخميس</v>
      </c>
      <c r="AC5" s="15" t="str">
        <f>TEXT(WEEKDAY(DATE(CalendarYear,12,27),1),"aaa")</f>
        <v>الجمعة</v>
      </c>
      <c r="AD5" s="15" t="str">
        <f>TEXT(WEEKDAY(DATE(CalendarYear,12,28),1),"aaa")</f>
        <v>السبت</v>
      </c>
      <c r="AE5" s="15" t="str">
        <f>TEXT(WEEKDAY(DATE(CalendarYear,12,29),1),"aaa")</f>
        <v>الأحد</v>
      </c>
      <c r="AF5" s="15" t="str">
        <f>TEXT(WEEKDAY(DATE(CalendarYear,12,30),1),"aaa")</f>
        <v>الإثنين</v>
      </c>
      <c r="AG5" s="15" t="str">
        <f>TEXT(WEEKDAY(DATE(CalendarYear,12,31),1),"aaa")</f>
        <v>الثلاثاء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COUNTA(ديسمبر[[#This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COUNTA(ديسمبر[[#This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COUNTA(ديسمبر[[#This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COUNTA(ديسمبر[[#This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COUNTA(ديسمبر[[#This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ديسمبر</v>
      </c>
      <c r="C12" s="21">
        <f>SUBTOTAL(103,ديسمبر[1])</f>
        <v>0</v>
      </c>
      <c r="D12" s="21">
        <f>SUBTOTAL(103,ديسمبر[2])</f>
        <v>0</v>
      </c>
      <c r="E12" s="21">
        <f>SUBTOTAL(103,ديسمبر[3])</f>
        <v>0</v>
      </c>
      <c r="F12" s="21">
        <f>SUBTOTAL(103,ديسمبر[4])</f>
        <v>0</v>
      </c>
      <c r="G12" s="21">
        <f>SUBTOTAL(103,ديسمبر[5])</f>
        <v>0</v>
      </c>
      <c r="H12" s="21">
        <f>SUBTOTAL(103,ديسمبر[6])</f>
        <v>0</v>
      </c>
      <c r="I12" s="21">
        <f>SUBTOTAL(103,ديسمبر[7])</f>
        <v>0</v>
      </c>
      <c r="J12" s="21">
        <f>SUBTOTAL(103,ديسمبر[8])</f>
        <v>0</v>
      </c>
      <c r="K12" s="21">
        <f>SUBTOTAL(103,ديسمبر[9])</f>
        <v>0</v>
      </c>
      <c r="L12" s="21">
        <f>SUBTOTAL(103,ديسمبر[10])</f>
        <v>0</v>
      </c>
      <c r="M12" s="21">
        <f>SUBTOTAL(103,ديسمبر[11])</f>
        <v>0</v>
      </c>
      <c r="N12" s="21">
        <f>SUBTOTAL(103,ديسمبر[12])</f>
        <v>0</v>
      </c>
      <c r="O12" s="21">
        <f>SUBTOTAL(103,ديسمبر[13])</f>
        <v>0</v>
      </c>
      <c r="P12" s="21">
        <f>SUBTOTAL(103,ديسمبر[14])</f>
        <v>0</v>
      </c>
      <c r="Q12" s="21">
        <f>SUBTOTAL(103,ديسمبر[15])</f>
        <v>0</v>
      </c>
      <c r="R12" s="21">
        <f>SUBTOTAL(103,ديسمبر[16])</f>
        <v>0</v>
      </c>
      <c r="S12" s="21">
        <f>SUBTOTAL(103,ديسمبر[17])</f>
        <v>0</v>
      </c>
      <c r="T12" s="21">
        <f>SUBTOTAL(103,ديسمبر[18])</f>
        <v>0</v>
      </c>
      <c r="U12" s="21">
        <f>SUBTOTAL(103,ديسمبر[19])</f>
        <v>0</v>
      </c>
      <c r="V12" s="21">
        <f>SUBTOTAL(103,ديسمبر[20])</f>
        <v>0</v>
      </c>
      <c r="W12" s="21">
        <f>SUBTOTAL(103,ديسمبر[21])</f>
        <v>0</v>
      </c>
      <c r="X12" s="21">
        <f>SUBTOTAL(103,ديسمبر[22])</f>
        <v>0</v>
      </c>
      <c r="Y12" s="21">
        <f>SUBTOTAL(103,ديسمبر[23])</f>
        <v>0</v>
      </c>
      <c r="Z12" s="21">
        <f>SUBTOTAL(103,ديسمبر[24])</f>
        <v>0</v>
      </c>
      <c r="AA12" s="21">
        <f>SUBTOTAL(103,ديسمبر[25])</f>
        <v>0</v>
      </c>
      <c r="AB12" s="21">
        <f>SUBTOTAL(103,ديسمبر[26])</f>
        <v>0</v>
      </c>
      <c r="AC12" s="21">
        <f>SUBTOTAL(103,ديسمبر[27])</f>
        <v>0</v>
      </c>
      <c r="AD12" s="21">
        <f>SUBTOTAL(103,ديسمبر[28])</f>
        <v>0</v>
      </c>
      <c r="AE12" s="21">
        <f>SUBTOTAL(103,ديسمبر[29])</f>
        <v>0</v>
      </c>
      <c r="AF12" s="21">
        <f>SUBTOTAL(103,ديسمبر[30])</f>
        <v>0</v>
      </c>
      <c r="AG12" s="21">
        <f>SUBTOTAL(103,ديسمبر[31])</f>
        <v>0</v>
      </c>
      <c r="AH12" s="21">
        <f>SUBTOTAL(109,ديسمبر[إجمالي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78" priority="2" stopIfTrue="1">
      <formula>C7=KeyCustom2</formula>
    </cfRule>
    <cfRule type="expression" dxfId="77" priority="3" stopIfTrue="1">
      <formula>C7=KeyCustom1</formula>
    </cfRule>
    <cfRule type="expression" dxfId="76" priority="4" stopIfTrue="1">
      <formula>C7=KeySick</formula>
    </cfRule>
    <cfRule type="expression" dxfId="75" priority="5" stopIfTrue="1">
      <formula>C7=KeyPersonal</formula>
    </cfRule>
    <cfRule type="expression" dxfId="74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{58F1C8BF-D1BA-4071-8AEC-1E7BFC529B97}</x14:id>
        </ext>
      </extLst>
    </cfRule>
  </conditionalFormatting>
  <dataValidations count="14"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CB9CAE2C-8B6A-4678-9CEC-FD526D733360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D4A2F73A-F01F-4EEC-9663-939FAE3699BA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030A5A90-BFBF-44B7-B36F-44DA681CAAE9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B240C115-AF60-4DEA-B810-C7CA7855AD0E}"/>
    <dataValidation allowBlank="1" showInputMessage="1" showErrorMessage="1" prompt="أدخل تسمية لوصف المفتاح المخصص على اليمين" sqref="O2:Q2 S2:U2" xr:uid="{2DAE63B0-F70B-4F95-9F3A-B3149EF61C5E}"/>
    <dataValidation allowBlank="1" showInputMessage="1" showErrorMessage="1" prompt="أدخل حرفاً وخصّص التسمية مباشرة لإضافة عنصر مفتاحي آخر" sqref="N2 R2" xr:uid="{3C6C0BFA-228E-4710-8D9A-BCFD1AF28CF6}"/>
    <dataValidation allowBlank="1" showInputMessage="1" showErrorMessage="1" prompt="الحرف &quot;م&quot; يشير إلى الغياب بسبب المرض" sqref="K2" xr:uid="{0B9CF289-7332-4E19-83CE-DA3203510343}"/>
    <dataValidation allowBlank="1" showInputMessage="1" showErrorMessage="1" prompt="الحرف &quot;ش&quot; يشير إلى الغياب لأسباب شخصية" sqref="G2" xr:uid="{8F1E895E-B576-4A5A-8E77-04CBDFF25FB0}"/>
    <dataValidation allowBlank="1" showInputMessage="1" showErrorMessage="1" prompt="الحرف &quot;ع&quot; يشير إلى الغياب بسبب قضاء عطلة" sqref="C2" xr:uid="{29B58E07-8424-4538-97E7-BCFBC1269B0C}"/>
    <dataValidation allowBlank="1" showInputMessage="1" showErrorMessage="1" prompt="عنوان محدّث تلقائياً في هذه الخلية. لتعديل العنوان، قم بتحديث B1 في ورقة العمل &quot;يناير&quot;." sqref="B1" xr:uid="{84F2C80D-ED1C-4CE4-90CC-FFC3568F1A76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81392B7A-A947-4F06-A524-4F4AC4CC3E8C}"/>
    <dataValidation allowBlank="1" showInputMessage="1" showErrorMessage="1" prompt="تعقب الغياب في شهر ديسمبر في ورقة العمل هذه" sqref="A1" xr:uid="{3CFC0896-A542-4AC8-9AEF-1B54532AC036}"/>
    <dataValidation allowBlank="1" showInputMessage="1" showErrorMessage="1" prompt="يتم حساب إجمالي عدد أيام غياب موظف هذا الشهر في هذا العمود تلقائياً" sqref="AH6" xr:uid="{425289C4-2321-444E-8F0D-FC789C30A118}"/>
    <dataValidation allowBlank="1" showInputMessage="1" showErrorMessage="1" prompt="سنة محدّثة تلقائياً استناداً إلى السنة التي تم إدخالها في ورقة عمل &quot;يناير&quot;." sqref="AH4" xr:uid="{C1FE0AFC-919D-4E75-B535-38E29FB64185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F1C8BF-D1BA-4071-8AEC-1E7BFC529B97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3BD8-59BB-4A06-B723-03DAD0DFFD2E}">
  <sheetPr>
    <tabColor theme="1"/>
  </sheetPr>
  <dimension ref="B1:B8"/>
  <sheetViews>
    <sheetView showGridLines="0" rightToLeft="1" workbookViewId="0">
      <selection activeCell="C1" sqref="C1"/>
    </sheetView>
  </sheetViews>
  <sheetFormatPr defaultRowHeight="30" customHeight="1" x14ac:dyDescent="0.2"/>
  <cols>
    <col min="1" max="1" width="2.625" style="1" customWidth="1"/>
    <col min="2" max="2" width="30.625" style="1" customWidth="1"/>
    <col min="3" max="3" width="2.625" style="1" customWidth="1"/>
    <col min="4" max="16384" width="9" style="1"/>
  </cols>
  <sheetData>
    <row r="1" spans="2:2" ht="49.5" customHeight="1" x14ac:dyDescent="0.2">
      <c r="B1" s="2" t="s">
        <v>0</v>
      </c>
    </row>
    <row r="2" spans="2:2" ht="15" customHeight="1" x14ac:dyDescent="0.2"/>
    <row r="3" spans="2:2" ht="30" customHeight="1" x14ac:dyDescent="0.2">
      <c r="B3" s="1" t="s">
        <v>0</v>
      </c>
    </row>
    <row r="4" spans="2:2" ht="30" customHeight="1" x14ac:dyDescent="0.2">
      <c r="B4" s="3" t="s">
        <v>1</v>
      </c>
    </row>
    <row r="5" spans="2:2" ht="30" customHeight="1" x14ac:dyDescent="0.2">
      <c r="B5" s="3" t="s">
        <v>2</v>
      </c>
    </row>
    <row r="6" spans="2:2" ht="30" customHeight="1" x14ac:dyDescent="0.2">
      <c r="B6" s="3" t="s">
        <v>3</v>
      </c>
    </row>
    <row r="7" spans="2:2" ht="30" customHeight="1" x14ac:dyDescent="0.2">
      <c r="B7" s="3" t="s">
        <v>4</v>
      </c>
    </row>
    <row r="8" spans="2:2" ht="30" customHeight="1" x14ac:dyDescent="0.2">
      <c r="B8" s="3" t="s">
        <v>5</v>
      </c>
    </row>
  </sheetData>
  <dataValidations count="3">
    <dataValidation allowBlank="1" showInputMessage="1" showErrorMessage="1" prompt="أدخل أسماء الموظفين في هذا العمود" sqref="B3" xr:uid="{AFB2B78E-AB1C-4FDA-B920-813C9596A78D}"/>
    <dataValidation allowBlank="1" showInputMessage="1" showErrorMessage="1" prompt="أدخل أسماء الموظفين في جدول أسماء الموظفين في ورقة العمل هذه. يتم استخدام هذه الأسماء كخيارات في العمود B لكل جدول غياب في الشهر." sqref="A1" xr:uid="{D94416BB-E2DC-4D5C-977B-9EAF949B8DAB}"/>
    <dataValidation allowBlank="1" showInputMessage="1" showErrorMessage="1" prompt="عنوان أسماء الموظفين" sqref="B1" xr:uid="{0CAE3880-133C-49FC-9D84-7438C8C81B15}"/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C0E5-BEAE-48D8-8984-250DDCC8373B}">
  <sheetPr>
    <tabColor theme="2" tint="-0.749992370372631"/>
    <pageSetUpPr fitToPage="1"/>
  </sheetPr>
  <dimension ref="A1:AI12"/>
  <sheetViews>
    <sheetView showGridLines="0" rightToLeft="1" zoomScale="60" zoomScaleNormal="60" workbookViewId="0">
      <selection activeCell="B1" sqref="B1"/>
    </sheetView>
  </sheetViews>
  <sheetFormatPr defaultColWidth="9.125"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.125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52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TEXT(WEEKDAY(DATE(CalendarYear,2,1),1),"aaa")</f>
        <v>الجمعة</v>
      </c>
      <c r="D5" s="15" t="str">
        <f>TEXT(WEEKDAY(DATE(CalendarYear,2,2),1),"aaa")</f>
        <v>السبت</v>
      </c>
      <c r="E5" s="15" t="str">
        <f>TEXT(WEEKDAY(DATE(CalendarYear,2,3),1),"aaa")</f>
        <v>الأحد</v>
      </c>
      <c r="F5" s="15" t="str">
        <f>TEXT(WEEKDAY(DATE(CalendarYear,2,4),1),"aaa")</f>
        <v>الإثنين</v>
      </c>
      <c r="G5" s="15" t="str">
        <f>TEXT(WEEKDAY(DATE(CalendarYear,2,5),1),"aaa")</f>
        <v>الثلاثاء</v>
      </c>
      <c r="H5" s="15" t="str">
        <f>TEXT(WEEKDAY(DATE(CalendarYear,2,6),1),"aaa")</f>
        <v>الأربعاء</v>
      </c>
      <c r="I5" s="15" t="str">
        <f>TEXT(WEEKDAY(DATE(CalendarYear,2,7),1),"aaa")</f>
        <v>الخميس</v>
      </c>
      <c r="J5" s="15" t="str">
        <f>TEXT(WEEKDAY(DATE(CalendarYear,2,8),1),"aaa")</f>
        <v>الجمعة</v>
      </c>
      <c r="K5" s="15" t="str">
        <f>TEXT(WEEKDAY(DATE(CalendarYear,2,9),1),"aaa")</f>
        <v>السبت</v>
      </c>
      <c r="L5" s="15" t="str">
        <f>TEXT(WEEKDAY(DATE(CalendarYear,2,10),1),"aaa")</f>
        <v>الأحد</v>
      </c>
      <c r="M5" s="15" t="str">
        <f>TEXT(WEEKDAY(DATE(CalendarYear,2,11),1),"aaa")</f>
        <v>الإثنين</v>
      </c>
      <c r="N5" s="15" t="str">
        <f>TEXT(WEEKDAY(DATE(CalendarYear,2,12),1),"aaa")</f>
        <v>الثلاثاء</v>
      </c>
      <c r="O5" s="15" t="str">
        <f>TEXT(WEEKDAY(DATE(CalendarYear,2,13),1),"aaa")</f>
        <v>الأربعاء</v>
      </c>
      <c r="P5" s="15" t="str">
        <f>TEXT(WEEKDAY(DATE(CalendarYear,2,14),1),"aaa")</f>
        <v>الخميس</v>
      </c>
      <c r="Q5" s="15" t="str">
        <f>TEXT(WEEKDAY(DATE(CalendarYear,2,15),1),"aaa")</f>
        <v>الجمعة</v>
      </c>
      <c r="R5" s="15" t="str">
        <f>TEXT(WEEKDAY(DATE(CalendarYear,2,16),1),"aaa")</f>
        <v>السبت</v>
      </c>
      <c r="S5" s="15" t="str">
        <f>TEXT(WEEKDAY(DATE(CalendarYear,2,17),1),"aaa")</f>
        <v>الأحد</v>
      </c>
      <c r="T5" s="15" t="str">
        <f>TEXT(WEEKDAY(DATE(CalendarYear,2,18),1),"aaa")</f>
        <v>الإثنين</v>
      </c>
      <c r="U5" s="15" t="str">
        <f>TEXT(WEEKDAY(DATE(CalendarYear,2,19),1),"aaa")</f>
        <v>الثلاثاء</v>
      </c>
      <c r="V5" s="15" t="str">
        <f>TEXT(WEEKDAY(DATE(CalendarYear,2,20),1),"aaa")</f>
        <v>الأربعاء</v>
      </c>
      <c r="W5" s="15" t="str">
        <f>TEXT(WEEKDAY(DATE(CalendarYear,2,21),1),"aaa")</f>
        <v>الخميس</v>
      </c>
      <c r="X5" s="15" t="str">
        <f>TEXT(WEEKDAY(DATE(CalendarYear,2,22),1),"aaa")</f>
        <v>الجمعة</v>
      </c>
      <c r="Y5" s="15" t="str">
        <f>TEXT(WEEKDAY(DATE(CalendarYear,2,23),1),"aaa")</f>
        <v>السبت</v>
      </c>
      <c r="Z5" s="15" t="str">
        <f>TEXT(WEEKDAY(DATE(CalendarYear,2,24),1),"aaa")</f>
        <v>الأحد</v>
      </c>
      <c r="AA5" s="15" t="str">
        <f>TEXT(WEEKDAY(DATE(CalendarYear,2,25),1),"aaa")</f>
        <v>الإثنين</v>
      </c>
      <c r="AB5" s="15" t="str">
        <f>TEXT(WEEKDAY(DATE(CalendarYear,2,26),1),"aaa")</f>
        <v>الثلاثاء</v>
      </c>
      <c r="AC5" s="15" t="str">
        <f>TEXT(WEEKDAY(DATE(CalendarYear,2,27),1),"aaa")</f>
        <v>الأربعاء</v>
      </c>
      <c r="AD5" s="15" t="str">
        <f>TEXT(WEEKDAY(DATE(CalendarYear,2,28),1),"aaa")</f>
        <v>الخميس</v>
      </c>
      <c r="AE5" s="15" t="str">
        <f>TEXT(WEEKDAY(DATE(CalendarYear,2,29),1),"aaa")</f>
        <v>الجمعة</v>
      </c>
      <c r="AF5" s="15"/>
      <c r="AG5" s="15"/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53</v>
      </c>
      <c r="AG6" s="15" t="s">
        <v>54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 t="s">
        <v>8</v>
      </c>
      <c r="F7" s="15" t="s">
        <v>8</v>
      </c>
      <c r="G7" s="15" t="s">
        <v>8</v>
      </c>
      <c r="H7" s="15" t="s">
        <v>8</v>
      </c>
      <c r="I7" s="15"/>
      <c r="J7" s="15"/>
      <c r="K7" s="15"/>
      <c r="L7" s="15"/>
      <c r="M7" s="15"/>
      <c r="N7" s="15"/>
      <c r="O7" s="15" t="s">
        <v>8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COUNTA(فبراير[[#This Row],[1]:[29]])</f>
        <v>5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 t="s">
        <v>12</v>
      </c>
      <c r="H8" s="15" t="s">
        <v>12</v>
      </c>
      <c r="I8" s="15"/>
      <c r="J8" s="15"/>
      <c r="K8" s="15"/>
      <c r="L8" s="15"/>
      <c r="M8" s="15" t="s">
        <v>10</v>
      </c>
      <c r="N8" s="15"/>
      <c r="O8" s="15"/>
      <c r="P8" s="15"/>
      <c r="Q8" s="15"/>
      <c r="R8" s="15"/>
      <c r="S8" s="15"/>
      <c r="T8" s="15"/>
      <c r="U8" s="15"/>
      <c r="V8" s="15" t="s">
        <v>12</v>
      </c>
      <c r="W8" s="15"/>
      <c r="X8" s="15"/>
      <c r="Y8" s="15"/>
      <c r="Z8" s="15"/>
      <c r="AA8" s="15" t="s">
        <v>8</v>
      </c>
      <c r="AB8" s="15" t="s">
        <v>8</v>
      </c>
      <c r="AC8" s="15" t="s">
        <v>8</v>
      </c>
      <c r="AD8" s="15"/>
      <c r="AE8" s="15"/>
      <c r="AF8" s="15"/>
      <c r="AG8" s="15"/>
      <c r="AH8" s="19">
        <f>COUNTA(فبراير[[#This Row],[1]:[29]])</f>
        <v>7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COUNTA(فبراير[[#This Row],[1]:[29]])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 t="s">
        <v>12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 t="s">
        <v>12</v>
      </c>
      <c r="Q10" s="15"/>
      <c r="R10" s="15"/>
      <c r="S10" s="15"/>
      <c r="T10" s="15" t="s">
        <v>10</v>
      </c>
      <c r="U10" s="15"/>
      <c r="V10" s="15"/>
      <c r="W10" s="15"/>
      <c r="X10" s="15"/>
      <c r="Y10" s="15"/>
      <c r="Z10" s="15"/>
      <c r="AA10" s="15"/>
      <c r="AB10" s="15"/>
      <c r="AC10" s="15"/>
      <c r="AD10" s="15" t="s">
        <v>12</v>
      </c>
      <c r="AE10" s="15"/>
      <c r="AF10" s="15"/>
      <c r="AG10" s="15"/>
      <c r="AH10" s="19">
        <f>COUNTA(فبراير[[#This Row],[1]:[29]])</f>
        <v>4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 t="s">
        <v>8</v>
      </c>
      <c r="K11" s="15" t="s">
        <v>8</v>
      </c>
      <c r="L11" s="15" t="s">
        <v>8</v>
      </c>
      <c r="M11" s="15" t="s">
        <v>8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 t="s">
        <v>12</v>
      </c>
      <c r="AA11" s="15"/>
      <c r="AB11" s="15"/>
      <c r="AC11" s="15"/>
      <c r="AD11" s="15"/>
      <c r="AE11" s="15"/>
      <c r="AF11" s="15"/>
      <c r="AG11" s="15"/>
      <c r="AH11" s="19">
        <f>COUNTA(فبراير[[#This Row],[1]:[29]])</f>
        <v>5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فبراير</v>
      </c>
      <c r="C12" s="21">
        <f>SUBTOTAL(103,فبراير[1])</f>
        <v>0</v>
      </c>
      <c r="D12" s="21">
        <f>SUBTOTAL(103,فبراير[2])</f>
        <v>0</v>
      </c>
      <c r="E12" s="21">
        <f>SUBTOTAL(103,فبراير[3])</f>
        <v>2</v>
      </c>
      <c r="F12" s="21">
        <f>SUBTOTAL(103,فبراير[4])</f>
        <v>1</v>
      </c>
      <c r="G12" s="21">
        <f>SUBTOTAL(103,فبراير[5])</f>
        <v>2</v>
      </c>
      <c r="H12" s="21">
        <f>SUBTOTAL(103,فبراير[6])</f>
        <v>2</v>
      </c>
      <c r="I12" s="21">
        <f>SUBTOTAL(103,فبراير[7])</f>
        <v>0</v>
      </c>
      <c r="J12" s="21">
        <f>SUBTOTAL(103,فبراير[8])</f>
        <v>1</v>
      </c>
      <c r="K12" s="21">
        <f>SUBTOTAL(103,فبراير[9])</f>
        <v>1</v>
      </c>
      <c r="L12" s="21">
        <f>SUBTOTAL(103,فبراير[10])</f>
        <v>1</v>
      </c>
      <c r="M12" s="21">
        <f>SUBTOTAL(103,فبراير[11])</f>
        <v>2</v>
      </c>
      <c r="N12" s="21">
        <f>SUBTOTAL(103,فبراير[12])</f>
        <v>0</v>
      </c>
      <c r="O12" s="21">
        <f>SUBTOTAL(103,فبراير[13])</f>
        <v>1</v>
      </c>
      <c r="P12" s="21">
        <f>SUBTOTAL(103,فبراير[14])</f>
        <v>1</v>
      </c>
      <c r="Q12" s="21">
        <f>SUBTOTAL(103,فبراير[15])</f>
        <v>0</v>
      </c>
      <c r="R12" s="21">
        <f>SUBTOTAL(103,فبراير[16])</f>
        <v>0</v>
      </c>
      <c r="S12" s="21">
        <f>SUBTOTAL(103,فبراير[17])</f>
        <v>0</v>
      </c>
      <c r="T12" s="21">
        <f>SUBTOTAL(103,فبراير[18])</f>
        <v>1</v>
      </c>
      <c r="U12" s="21">
        <f>SUBTOTAL(103,فبراير[19])</f>
        <v>0</v>
      </c>
      <c r="V12" s="21">
        <f>SUBTOTAL(103,فبراير[20])</f>
        <v>1</v>
      </c>
      <c r="W12" s="21">
        <f>SUBTOTAL(103,فبراير[21])</f>
        <v>0</v>
      </c>
      <c r="X12" s="21">
        <f>SUBTOTAL(103,فبراير[22])</f>
        <v>0</v>
      </c>
      <c r="Y12" s="21">
        <f>SUBTOTAL(103,فبراير[23])</f>
        <v>0</v>
      </c>
      <c r="Z12" s="21">
        <f>SUBTOTAL(103,فبراير[24])</f>
        <v>1</v>
      </c>
      <c r="AA12" s="21">
        <f>SUBTOTAL(103,فبراير[25])</f>
        <v>1</v>
      </c>
      <c r="AB12" s="21">
        <f>SUBTOTAL(103,فبراير[26])</f>
        <v>1</v>
      </c>
      <c r="AC12" s="21">
        <f>SUBTOTAL(103,فبراير[27])</f>
        <v>1</v>
      </c>
      <c r="AD12" s="21">
        <f>SUBTOTAL(103,فبراير[28])</f>
        <v>1</v>
      </c>
      <c r="AE12" s="21">
        <f>SUBTOTAL(103,فبراير[29])</f>
        <v>0</v>
      </c>
      <c r="AF12" s="21"/>
      <c r="AG12" s="21"/>
      <c r="AH12" s="21">
        <f>SUBTOTAL(109,فبراير[إجمالي الأيام])</f>
        <v>21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AE6">
    <cfRule type="expression" dxfId="820" priority="8">
      <formula>MONTH(DATE(CalendarYear,2,29))&lt;&gt;2</formula>
    </cfRule>
  </conditionalFormatting>
  <conditionalFormatting sqref="AE5">
    <cfRule type="expression" dxfId="819" priority="7">
      <formula>MONTH(DATE(CalendarYear,2,29))&lt;&gt;2</formula>
    </cfRule>
  </conditionalFormatting>
  <conditionalFormatting sqref="C7:AG11">
    <cfRule type="expression" priority="1" stopIfTrue="1">
      <formula>C7=""</formula>
    </cfRule>
    <cfRule type="expression" dxfId="818" priority="2" stopIfTrue="1">
      <formula>C7=KeyCustom2</formula>
    </cfRule>
  </conditionalFormatting>
  <conditionalFormatting sqref="C7:AG11">
    <cfRule type="expression" dxfId="817" priority="3" stopIfTrue="1">
      <formula>C7=KeyCustom1</formula>
    </cfRule>
    <cfRule type="expression" dxfId="816" priority="4" stopIfTrue="1">
      <formula>C7=KeySick</formula>
    </cfRule>
    <cfRule type="expression" dxfId="815" priority="5" stopIfTrue="1">
      <formula>C7=KeyPersonal</formula>
    </cfRule>
    <cfRule type="expression" dxfId="814" priority="6" stopIfTrue="1">
      <formula>C7=KeyVacation</formula>
    </cfRule>
  </conditionalFormatting>
  <conditionalFormatting sqref="AH7:AH11">
    <cfRule type="dataBar" priority="9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{CC2D0F1D-63FB-4B6A-8875-CFC0758B5858}</x14:id>
        </ext>
      </extLst>
    </cfRule>
  </conditionalFormatting>
  <dataValidations count="14"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396D73E8-0CA5-4521-9664-A6543449E738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783B1303-558A-403F-AB24-EEE16BA8104E}"/>
    <dataValidation allowBlank="1" showInputMessage="1" showErrorMessage="1" prompt="الحرف &quot;ع&quot; يشير إلى الغياب بسبب قضاء عطلة" sqref="C2" xr:uid="{8FAF9ABF-7FD4-4E76-8E95-52B097CEF1EC}"/>
    <dataValidation allowBlank="1" showInputMessage="1" showErrorMessage="1" prompt="الحرف &quot;ش&quot; يشير إلى الغياب لأسباب شخصية" sqref="G2" xr:uid="{97140B03-18BB-4453-A51F-FFFCD19B5259}"/>
    <dataValidation allowBlank="1" showInputMessage="1" showErrorMessage="1" prompt="الحرف &quot;م&quot; يشير إلى الغياب بسبب المرض" sqref="K2" xr:uid="{BEB3E8B7-824C-4349-976C-E91FF1D07626}"/>
    <dataValidation allowBlank="1" showInputMessage="1" showErrorMessage="1" prompt="أدخل حرفاً وخصّص التسمية مباشرة لإضافة عنصر مفتاحي آخر" sqref="N2 R2" xr:uid="{7F3FDD30-9B03-4401-9789-67C013620A1C}"/>
    <dataValidation allowBlank="1" showInputMessage="1" showErrorMessage="1" prompt="أدخل تسمية لوصف المفتاح المخصص على اليمين" sqref="O2:Q2 S2:U2" xr:uid="{BCED5174-339D-4570-8AE9-D269044D6A91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0120E903-15BC-461E-ABB9-AC7F50ED4F47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CF15CC20-3F17-4330-9DE7-E0A00AB744AC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9F3E1B03-5671-4CD2-B7B2-7EE7CF5E5180}"/>
    <dataValidation allowBlank="1" showInputMessage="1" showErrorMessage="1" prompt="عنوان محدّث تلقائياً في هذه الخلية. لتعديل العنوان، قم بتحديث B1 في ورقة العمل &quot;يناير&quot;." sqref="B1" xr:uid="{BF6B1D15-A7BC-4253-8EDA-04DDB0561863}"/>
    <dataValidation allowBlank="1" showInputMessage="1" showErrorMessage="1" prompt="يتم حساب إجمالي عدد أيام غياب موظف هذا الشهر في هذا العمود تلقائياً" sqref="AH6" xr:uid="{CB46659C-9487-4327-B7DE-A493B495CDCD}"/>
    <dataValidation allowBlank="1" showInputMessage="1" showErrorMessage="1" prompt="تعقب الغياب في شهر فبراير في ورقة العمل هذه" sqref="A1" xr:uid="{EAD2C4A7-24A4-4389-8A8B-CDA88CCE6893}"/>
    <dataValidation allowBlank="1" showInputMessage="1" showErrorMessage="1" prompt="سنة محدّثة تلقائياً استناداً إلى السنة التي تم إدخالها في ورقة عمل &quot;يناير&quot;." sqref="AH4" xr:uid="{12DA01AD-42A6-4AF2-ACB2-1AF787146386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2D0F1D-63FB-4B6A-8875-CFC0758B5858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9F8-7F29-4A6C-9010-F30A9820A694}">
  <sheetPr>
    <tabColor theme="2" tint="-0.499984740745262"/>
    <pageSetUpPr fitToPage="1"/>
  </sheetPr>
  <dimension ref="A1:AI12"/>
  <sheetViews>
    <sheetView showGridLines="0" rightToLeft="1" zoomScale="60" zoomScaleNormal="60" workbookViewId="0">
      <selection activeCell="I16" sqref="I16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55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TEXT(WEEKDAY(DATE(CalendarYear,3,1),1),"aaa")</f>
        <v>الجمعة</v>
      </c>
      <c r="D5" s="15" t="str">
        <f>TEXT(WEEKDAY(DATE(CalendarYear,3,2),1),"aaa")</f>
        <v>السبت</v>
      </c>
      <c r="E5" s="15" t="str">
        <f>TEXT(WEEKDAY(DATE(CalendarYear,3,3),1),"aaa")</f>
        <v>الأحد</v>
      </c>
      <c r="F5" s="15" t="str">
        <f>TEXT(WEEKDAY(DATE(CalendarYear,3,4),1),"aaa")</f>
        <v>الإثنين</v>
      </c>
      <c r="G5" s="15" t="str">
        <f>TEXT(WEEKDAY(DATE(CalendarYear,3,5),1),"aaa")</f>
        <v>الثلاثاء</v>
      </c>
      <c r="H5" s="15" t="str">
        <f>TEXT(WEEKDAY(DATE(CalendarYear,3,6),1),"aaa")</f>
        <v>الأربعاء</v>
      </c>
      <c r="I5" s="15" t="str">
        <f>TEXT(WEEKDAY(DATE(CalendarYear,3,7),1),"aaa")</f>
        <v>الخميس</v>
      </c>
      <c r="J5" s="15" t="str">
        <f>TEXT(WEEKDAY(DATE(CalendarYear,3,8),1),"aaa")</f>
        <v>الجمعة</v>
      </c>
      <c r="K5" s="15" t="str">
        <f>TEXT(WEEKDAY(DATE(CalendarYear,3,9),1),"aaa")</f>
        <v>السبت</v>
      </c>
      <c r="L5" s="15" t="str">
        <f>TEXT(WEEKDAY(DATE(CalendarYear,3,10),1),"aaa")</f>
        <v>الأحد</v>
      </c>
      <c r="M5" s="15" t="str">
        <f>TEXT(WEEKDAY(DATE(CalendarYear,3,11),1),"aaa")</f>
        <v>الإثنين</v>
      </c>
      <c r="N5" s="15" t="str">
        <f>TEXT(WEEKDAY(DATE(CalendarYear,3,12),1),"aaa")</f>
        <v>الثلاثاء</v>
      </c>
      <c r="O5" s="15" t="str">
        <f>TEXT(WEEKDAY(DATE(CalendarYear,3,13),1),"aaa")</f>
        <v>الأربعاء</v>
      </c>
      <c r="P5" s="15" t="str">
        <f>TEXT(WEEKDAY(DATE(CalendarYear,3,14),1),"aaa")</f>
        <v>الخميس</v>
      </c>
      <c r="Q5" s="15" t="str">
        <f>TEXT(WEEKDAY(DATE(CalendarYear,3,15),1),"aaa")</f>
        <v>الجمعة</v>
      </c>
      <c r="R5" s="15" t="str">
        <f>TEXT(WEEKDAY(DATE(CalendarYear,3,16),1),"aaa")</f>
        <v>السبت</v>
      </c>
      <c r="S5" s="15" t="str">
        <f>TEXT(WEEKDAY(DATE(CalendarYear,3,17),1),"aaa")</f>
        <v>الأحد</v>
      </c>
      <c r="T5" s="15" t="str">
        <f>TEXT(WEEKDAY(DATE(CalendarYear,3,18),1),"aaa")</f>
        <v>الإثنين</v>
      </c>
      <c r="U5" s="15" t="str">
        <f>TEXT(WEEKDAY(DATE(CalendarYear,3,19),1),"aaa")</f>
        <v>الثلاثاء</v>
      </c>
      <c r="V5" s="15" t="str">
        <f>TEXT(WEEKDAY(DATE(CalendarYear,3,20),1),"aaa")</f>
        <v>الأربعاء</v>
      </c>
      <c r="W5" s="15" t="str">
        <f>TEXT(WEEKDAY(DATE(CalendarYear,3,21),1),"aaa")</f>
        <v>الخميس</v>
      </c>
      <c r="X5" s="15" t="str">
        <f>TEXT(WEEKDAY(DATE(CalendarYear,3,22),1),"aaa")</f>
        <v>الجمعة</v>
      </c>
      <c r="Y5" s="15" t="str">
        <f>TEXT(WEEKDAY(DATE(CalendarYear,3,23),1),"aaa")</f>
        <v>السبت</v>
      </c>
      <c r="Z5" s="15" t="str">
        <f>TEXT(WEEKDAY(DATE(CalendarYear,3,24),1),"aaa")</f>
        <v>الأحد</v>
      </c>
      <c r="AA5" s="15" t="str">
        <f>TEXT(WEEKDAY(DATE(CalendarYear,3,25),1),"aaa")</f>
        <v>الإثنين</v>
      </c>
      <c r="AB5" s="15" t="str">
        <f>TEXT(WEEKDAY(DATE(CalendarYear,3,26),1),"aaa")</f>
        <v>الثلاثاء</v>
      </c>
      <c r="AC5" s="15" t="str">
        <f>TEXT(WEEKDAY(DATE(CalendarYear,3,27),1),"aaa")</f>
        <v>الأربعاء</v>
      </c>
      <c r="AD5" s="15" t="str">
        <f>TEXT(WEEKDAY(DATE(CalendarYear,3,28),1),"aaa")</f>
        <v>الخميس</v>
      </c>
      <c r="AE5" s="15" t="str">
        <f>TEXT(WEEKDAY(DATE(CalendarYear,3,29),1),"aaa")</f>
        <v>الجمعة</v>
      </c>
      <c r="AF5" s="15" t="str">
        <f>TEXT(WEEKDAY(DATE(CalendarYear,3,30),1),"aaa")</f>
        <v>السبت</v>
      </c>
      <c r="AG5" s="15" t="str">
        <f>TEXT(WEEKDAY(DATE(CalendarYear,3,31),1),"aaa")</f>
        <v>الأحد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COUNTA(مارس[[#This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COUNTA(مارس[[#This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COUNTA(مارس[[#This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COUNTA(مارس[[#This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COUNTA(مارس[[#This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مارس</v>
      </c>
      <c r="C12" s="21">
        <f>SUBTOTAL(103,مارس[1])</f>
        <v>0</v>
      </c>
      <c r="D12" s="21">
        <f>SUBTOTAL(103,مارس[2])</f>
        <v>0</v>
      </c>
      <c r="E12" s="21">
        <f>SUBTOTAL(103,مارس[3])</f>
        <v>0</v>
      </c>
      <c r="F12" s="21">
        <f>SUBTOTAL(103,مارس[4])</f>
        <v>0</v>
      </c>
      <c r="G12" s="21">
        <f>SUBTOTAL(103,مارس[5])</f>
        <v>0</v>
      </c>
      <c r="H12" s="21">
        <f>SUBTOTAL(103,مارس[6])</f>
        <v>0</v>
      </c>
      <c r="I12" s="21">
        <f>SUBTOTAL(103,مارس[7])</f>
        <v>0</v>
      </c>
      <c r="J12" s="21">
        <f>SUBTOTAL(103,مارس[8])</f>
        <v>0</v>
      </c>
      <c r="K12" s="21">
        <f>SUBTOTAL(103,مارس[9])</f>
        <v>0</v>
      </c>
      <c r="L12" s="21">
        <f>SUBTOTAL(103,مارس[10])</f>
        <v>0</v>
      </c>
      <c r="M12" s="21">
        <f>SUBTOTAL(103,مارس[11])</f>
        <v>0</v>
      </c>
      <c r="N12" s="21">
        <f>SUBTOTAL(103,مارس[12])</f>
        <v>0</v>
      </c>
      <c r="O12" s="21">
        <f>SUBTOTAL(103,مارس[13])</f>
        <v>0</v>
      </c>
      <c r="P12" s="21">
        <f>SUBTOTAL(103,مارس[14])</f>
        <v>0</v>
      </c>
      <c r="Q12" s="21">
        <f>SUBTOTAL(103,مارس[15])</f>
        <v>0</v>
      </c>
      <c r="R12" s="21">
        <f>SUBTOTAL(103,مارس[16])</f>
        <v>0</v>
      </c>
      <c r="S12" s="21">
        <f>SUBTOTAL(103,مارس[17])</f>
        <v>0</v>
      </c>
      <c r="T12" s="21">
        <f>SUBTOTAL(103,مارس[18])</f>
        <v>0</v>
      </c>
      <c r="U12" s="21">
        <f>SUBTOTAL(103,مارس[19])</f>
        <v>0</v>
      </c>
      <c r="V12" s="21">
        <f>SUBTOTAL(103,مارس[20])</f>
        <v>0</v>
      </c>
      <c r="W12" s="21">
        <f>SUBTOTAL(103,مارس[21])</f>
        <v>0</v>
      </c>
      <c r="X12" s="21">
        <f>SUBTOTAL(103,مارس[22])</f>
        <v>0</v>
      </c>
      <c r="Y12" s="21">
        <f>SUBTOTAL(103,مارس[23])</f>
        <v>0</v>
      </c>
      <c r="Z12" s="21">
        <f>SUBTOTAL(103,مارس[24])</f>
        <v>0</v>
      </c>
      <c r="AA12" s="21">
        <f>SUBTOTAL(103,مارس[25])</f>
        <v>0</v>
      </c>
      <c r="AB12" s="21">
        <f>SUBTOTAL(103,مارس[26])</f>
        <v>0</v>
      </c>
      <c r="AC12" s="21">
        <f>SUBTOTAL(103,مارس[27])</f>
        <v>0</v>
      </c>
      <c r="AD12" s="21">
        <f>SUBTOTAL(103,مارس[28])</f>
        <v>0</v>
      </c>
      <c r="AE12" s="21">
        <f>SUBTOTAL(103,مارس[29])</f>
        <v>0</v>
      </c>
      <c r="AF12" s="21">
        <f>SUBTOTAL(103,مارس[30])</f>
        <v>0</v>
      </c>
      <c r="AG12" s="21">
        <f>SUBTOTAL(103,مارس[31])</f>
        <v>0</v>
      </c>
      <c r="AH12" s="21">
        <f>SUBTOTAL(109,مارس[إجمالي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744" priority="2" stopIfTrue="1">
      <formula>C7=KeyCustom2</formula>
    </cfRule>
    <cfRule type="expression" dxfId="743" priority="3" stopIfTrue="1">
      <formula>C7=KeyCustom1</formula>
    </cfRule>
    <cfRule type="expression" dxfId="742" priority="4" stopIfTrue="1">
      <formula>C7=KeySick</formula>
    </cfRule>
    <cfRule type="expression" dxfId="741" priority="5" stopIfTrue="1">
      <formula>C7=KeyPersonal</formula>
    </cfRule>
    <cfRule type="expression" dxfId="740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{3C2749A8-7124-46FE-9FC2-0B6D49C9FDB8}</x14:id>
        </ext>
      </extLst>
    </cfRule>
  </conditionalFormatting>
  <dataValidations count="14">
    <dataValidation allowBlank="1" showInputMessage="1" showErrorMessage="1" prompt="سنة محدّثة تلقائياً استناداً إلى السنة التي تم إدخالها في ورقة عمل &quot;يناير&quot;." sqref="AH4" xr:uid="{E743B003-A10D-40F8-99AC-983DAE440EF5}"/>
    <dataValidation allowBlank="1" showInputMessage="1" showErrorMessage="1" prompt="يتم حساب إجمالي عدد أيام غياب موظف هذا الشهر في هذا العمود تلقائياً" sqref="AH6" xr:uid="{B3525B64-12D0-46A1-814F-0DB7EBE5697E}"/>
    <dataValidation allowBlank="1" showInputMessage="1" showErrorMessage="1" prompt="تعقب الغياب في شهر مارس في ورقة العمل هذه" sqref="A1" xr:uid="{4130DC85-E86B-4FEE-B983-0D7E212445D4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4E311738-ACB8-4088-9A18-6B767B5C15DC}"/>
    <dataValidation allowBlank="1" showInputMessage="1" showErrorMessage="1" prompt="عنوان محدّث تلقائياً في هذه الخلية. لتعديل العنوان، قم بتحديث B1 في ورقة العمل &quot;يناير&quot;." sqref="B1" xr:uid="{CF196F39-34A9-4C1F-9056-2C136617225B}"/>
    <dataValidation allowBlank="1" showInputMessage="1" showErrorMessage="1" prompt="الحرف &quot;ع&quot; يشير إلى الغياب بسبب قضاء عطلة" sqref="C2" xr:uid="{68BEF07F-A5E5-46E7-A6A7-BDA6811A30E2}"/>
    <dataValidation allowBlank="1" showInputMessage="1" showErrorMessage="1" prompt="الحرف &quot;ش&quot; يشير إلى الغياب لأسباب شخصية" sqref="G2" xr:uid="{44355CE1-F558-42F8-A288-22632EB88F68}"/>
    <dataValidation allowBlank="1" showInputMessage="1" showErrorMessage="1" prompt="الحرف &quot;م&quot; يشير إلى الغياب بسبب المرض" sqref="K2" xr:uid="{76534EA6-2546-4E0D-A262-A0B6BF9EF993}"/>
    <dataValidation allowBlank="1" showInputMessage="1" showErrorMessage="1" prompt="أدخل حرفاً وخصّص التسمية مباشرة لإضافة عنصر مفتاحي آخر" sqref="N2 R2" xr:uid="{81E1464B-8E5C-453B-9582-4401D8FEA2DC}"/>
    <dataValidation allowBlank="1" showInputMessage="1" showErrorMessage="1" prompt="أدخل تسمية لوصف المفتاح المخصص على اليمين" sqref="O2:Q2 S2:U2" xr:uid="{C256FCC5-5392-47D7-9FAD-B541E9344528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D78989B7-E3AA-40D1-95F2-26C21260F4AA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FDAA8D6C-FA50-4068-95A0-6332106E85A6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0F44C006-F443-413E-BE27-1E6D2A51977C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2CBDBEC5-56EC-4C0A-BD8E-78FCFCEC4DA5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2749A8-7124-46FE-9FC2-0B6D49C9FDB8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3366-D592-4436-A34C-9807D3BD9387}">
  <sheetPr>
    <tabColor theme="2" tint="-0.249977111117893"/>
    <pageSetUpPr fitToPage="1"/>
  </sheetPr>
  <dimension ref="A1:AI12"/>
  <sheetViews>
    <sheetView showGridLines="0" rightToLeft="1" zoomScale="60" zoomScaleNormal="60" workbookViewId="0">
      <selection activeCell="J15" sqref="J15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56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TEXT(WEEKDAY(DATE(CalendarYear,4,1),1),"aaa")</f>
        <v>الإثنين</v>
      </c>
      <c r="D5" s="15" t="str">
        <f>TEXT(WEEKDAY(DATE(CalendarYear,4,2),1),"aaa")</f>
        <v>الثلاثاء</v>
      </c>
      <c r="E5" s="15" t="str">
        <f>TEXT(WEEKDAY(DATE(CalendarYear,4,3),1),"aaa")</f>
        <v>الأربعاء</v>
      </c>
      <c r="F5" s="15" t="str">
        <f>TEXT(WEEKDAY(DATE(CalendarYear,4,4),1),"aaa")</f>
        <v>الخميس</v>
      </c>
      <c r="G5" s="15" t="str">
        <f>TEXT(WEEKDAY(DATE(CalendarYear,4,5),1),"aaa")</f>
        <v>الجمعة</v>
      </c>
      <c r="H5" s="15" t="str">
        <f>TEXT(WEEKDAY(DATE(CalendarYear,4,6),1),"aaa")</f>
        <v>السبت</v>
      </c>
      <c r="I5" s="15" t="str">
        <f>TEXT(WEEKDAY(DATE(CalendarYear,4,7),1),"aaa")</f>
        <v>الأحد</v>
      </c>
      <c r="J5" s="15" t="str">
        <f>TEXT(WEEKDAY(DATE(CalendarYear,4,8),1),"aaa")</f>
        <v>الإثنين</v>
      </c>
      <c r="K5" s="15" t="str">
        <f>TEXT(WEEKDAY(DATE(CalendarYear,4,9),1),"aaa")</f>
        <v>الثلاثاء</v>
      </c>
      <c r="L5" s="15" t="str">
        <f>TEXT(WEEKDAY(DATE(CalendarYear,4,10),1),"aaa")</f>
        <v>الأربعاء</v>
      </c>
      <c r="M5" s="15" t="str">
        <f>TEXT(WEEKDAY(DATE(CalendarYear,4,11),1),"aaa")</f>
        <v>الخميس</v>
      </c>
      <c r="N5" s="15" t="str">
        <f>TEXT(WEEKDAY(DATE(CalendarYear,4,12),1),"aaa")</f>
        <v>الجمعة</v>
      </c>
      <c r="O5" s="15" t="str">
        <f>TEXT(WEEKDAY(DATE(CalendarYear,4,13),1),"aaa")</f>
        <v>السبت</v>
      </c>
      <c r="P5" s="15" t="str">
        <f>TEXT(WEEKDAY(DATE(CalendarYear,4,14),1),"aaa")</f>
        <v>الأحد</v>
      </c>
      <c r="Q5" s="15" t="str">
        <f>TEXT(WEEKDAY(DATE(CalendarYear,4,15),1),"aaa")</f>
        <v>الإثنين</v>
      </c>
      <c r="R5" s="15" t="str">
        <f>TEXT(WEEKDAY(DATE(CalendarYear,4,16),1),"aaa")</f>
        <v>الثلاثاء</v>
      </c>
      <c r="S5" s="15" t="str">
        <f>TEXT(WEEKDAY(DATE(CalendarYear,4,17),1),"aaa")</f>
        <v>الأربعاء</v>
      </c>
      <c r="T5" s="15" t="str">
        <f>TEXT(WEEKDAY(DATE(CalendarYear,4,18),1),"aaa")</f>
        <v>الخميس</v>
      </c>
      <c r="U5" s="15" t="str">
        <f>TEXT(WEEKDAY(DATE(CalendarYear,4,19),1),"aaa")</f>
        <v>الجمعة</v>
      </c>
      <c r="V5" s="15" t="str">
        <f>TEXT(WEEKDAY(DATE(CalendarYear,4,20),1),"aaa")</f>
        <v>السبت</v>
      </c>
      <c r="W5" s="15" t="str">
        <f>TEXT(WEEKDAY(DATE(CalendarYear,4,21),1),"aaa")</f>
        <v>الأحد</v>
      </c>
      <c r="X5" s="15" t="str">
        <f>TEXT(WEEKDAY(DATE(CalendarYear,4,22),1),"aaa")</f>
        <v>الإثنين</v>
      </c>
      <c r="Y5" s="15" t="str">
        <f>TEXT(WEEKDAY(DATE(CalendarYear,4,23),1),"aaa")</f>
        <v>الثلاثاء</v>
      </c>
      <c r="Z5" s="15" t="str">
        <f>TEXT(WEEKDAY(DATE(CalendarYear,4,24),1),"aaa")</f>
        <v>الأربعاء</v>
      </c>
      <c r="AA5" s="15" t="str">
        <f>TEXT(WEEKDAY(DATE(CalendarYear,4,25),1),"aaa")</f>
        <v>الخميس</v>
      </c>
      <c r="AB5" s="15" t="str">
        <f>TEXT(WEEKDAY(DATE(CalendarYear,4,26),1),"aaa")</f>
        <v>الجمعة</v>
      </c>
      <c r="AC5" s="15" t="str">
        <f>TEXT(WEEKDAY(DATE(CalendarYear,4,27),1),"aaa")</f>
        <v>السبت</v>
      </c>
      <c r="AD5" s="15" t="str">
        <f>TEXT(WEEKDAY(DATE(CalendarYear,4,28),1),"aaa")</f>
        <v>الأحد</v>
      </c>
      <c r="AE5" s="15" t="str">
        <f>TEXT(WEEKDAY(DATE(CalendarYear,4,29),1),"aaa")</f>
        <v>الإثنين</v>
      </c>
      <c r="AF5" s="15" t="str">
        <f>TEXT(WEEKDAY(DATE(CalendarYear,4,30),1),"aaa")</f>
        <v>الثلاثاء</v>
      </c>
      <c r="AG5" s="15"/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23" t="s">
        <v>53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COUNTA(أبريل[[#This Row],[1]:[30]])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COUNTA(أبريل[[#This Row],[1]:[30]])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COUNTA(أبريل[[#This Row],[1]:[30]])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COUNTA(أبريل[[#This Row],[1]:[30]])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COUNTA(أبريل[[#This Row],[1]:[30]])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أبريل</v>
      </c>
      <c r="C12" s="21">
        <f>SUBTOTAL(103,أبريل[1])</f>
        <v>0</v>
      </c>
      <c r="D12" s="21">
        <f>SUBTOTAL(103,أبريل[2])</f>
        <v>0</v>
      </c>
      <c r="E12" s="21">
        <f>SUBTOTAL(103,أبريل[3])</f>
        <v>0</v>
      </c>
      <c r="F12" s="21">
        <f>SUBTOTAL(103,أبريل[4])</f>
        <v>0</v>
      </c>
      <c r="G12" s="21">
        <f>SUBTOTAL(103,أبريل[5])</f>
        <v>0</v>
      </c>
      <c r="H12" s="21">
        <f>SUBTOTAL(103,أبريل[6])</f>
        <v>0</v>
      </c>
      <c r="I12" s="21">
        <f>SUBTOTAL(103,أبريل[7])</f>
        <v>0</v>
      </c>
      <c r="J12" s="21">
        <f>SUBTOTAL(103,أبريل[8])</f>
        <v>0</v>
      </c>
      <c r="K12" s="21">
        <f>SUBTOTAL(103,أبريل[9])</f>
        <v>0</v>
      </c>
      <c r="L12" s="21">
        <f>SUBTOTAL(103,أبريل[10])</f>
        <v>0</v>
      </c>
      <c r="M12" s="21">
        <f>SUBTOTAL(103,أبريل[11])</f>
        <v>0</v>
      </c>
      <c r="N12" s="21">
        <f>SUBTOTAL(103,أبريل[12])</f>
        <v>0</v>
      </c>
      <c r="O12" s="21">
        <f>SUBTOTAL(103,أبريل[13])</f>
        <v>0</v>
      </c>
      <c r="P12" s="21">
        <f>SUBTOTAL(103,أبريل[14])</f>
        <v>0</v>
      </c>
      <c r="Q12" s="21">
        <f>SUBTOTAL(103,أبريل[15])</f>
        <v>0</v>
      </c>
      <c r="R12" s="21">
        <f>SUBTOTAL(103,أبريل[16])</f>
        <v>0</v>
      </c>
      <c r="S12" s="21">
        <f>SUBTOTAL(103,أبريل[17])</f>
        <v>0</v>
      </c>
      <c r="T12" s="21">
        <f>SUBTOTAL(103,أبريل[18])</f>
        <v>0</v>
      </c>
      <c r="U12" s="21">
        <f>SUBTOTAL(103,أبريل[19])</f>
        <v>0</v>
      </c>
      <c r="V12" s="21">
        <f>SUBTOTAL(103,أبريل[20])</f>
        <v>0</v>
      </c>
      <c r="W12" s="21">
        <f>SUBTOTAL(103,أبريل[21])</f>
        <v>0</v>
      </c>
      <c r="X12" s="21">
        <f>SUBTOTAL(103,أبريل[22])</f>
        <v>0</v>
      </c>
      <c r="Y12" s="21">
        <f>SUBTOTAL(103,أبريل[23])</f>
        <v>0</v>
      </c>
      <c r="Z12" s="21">
        <f>SUBTOTAL(103,أبريل[24])</f>
        <v>0</v>
      </c>
      <c r="AA12" s="21">
        <f>SUBTOTAL(103,أبريل[25])</f>
        <v>0</v>
      </c>
      <c r="AB12" s="21">
        <f>SUBTOTAL(103,أبريل[26])</f>
        <v>0</v>
      </c>
      <c r="AC12" s="21">
        <f>SUBTOTAL(103,أبريل[27])</f>
        <v>0</v>
      </c>
      <c r="AD12" s="21">
        <f>SUBTOTAL(103,أبريل[28])</f>
        <v>0</v>
      </c>
      <c r="AE12" s="21">
        <f>SUBTOTAL(103,أبريل[29])</f>
        <v>0</v>
      </c>
      <c r="AF12" s="21">
        <f>SUBTOTAL(103,أبريل[30])</f>
        <v>0</v>
      </c>
      <c r="AG12" s="21">
        <f>SUBTOTAL(103,أبريل[30])</f>
        <v>0</v>
      </c>
      <c r="AH12" s="21">
        <f>SUBTOTAL(109,أبريل[إجمالي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670" priority="2" stopIfTrue="1">
      <formula>C7=KeyCustom2</formula>
    </cfRule>
    <cfRule type="expression" dxfId="669" priority="3" stopIfTrue="1">
      <formula>C7=KeyCustom1</formula>
    </cfRule>
    <cfRule type="expression" dxfId="668" priority="4" stopIfTrue="1">
      <formula>C7=KeySick</formula>
    </cfRule>
    <cfRule type="expression" dxfId="667" priority="5" stopIfTrue="1">
      <formula>C7=KeyPersonal</formula>
    </cfRule>
    <cfRule type="expression" dxfId="666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{23CFD978-D1DB-47B3-BFEB-9E5322C43E5B}</x14:id>
        </ext>
      </extLst>
    </cfRule>
  </conditionalFormatting>
  <dataValidations count="14"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239E53B4-64A8-429F-B028-7D2FA817B1F1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7CBF843B-2785-40CD-AAA5-3C31A62CAD10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020D12FD-75D3-4D33-9FDF-29C799AEACD2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334F1EEB-DB44-4508-934C-19F17DEBB0CD}"/>
    <dataValidation allowBlank="1" showInputMessage="1" showErrorMessage="1" prompt="أدخل تسمية لوصف المفتاح المخصص على اليمين" sqref="O2:Q2 S2:U2" xr:uid="{A78D163F-1629-47A4-8E16-B59551F88507}"/>
    <dataValidation allowBlank="1" showInputMessage="1" showErrorMessage="1" prompt="أدخل حرفاً وخصّص التسمية مباشرة لإضافة عنصر مفتاحي آخر" sqref="N2 R2" xr:uid="{0E82EF6F-4742-4292-AB91-66149608B84C}"/>
    <dataValidation allowBlank="1" showInputMessage="1" showErrorMessage="1" prompt="الحرف &quot;م&quot; يشير إلى الغياب بسبب المرض" sqref="K2" xr:uid="{5B49F2D5-2938-45FA-BDB0-BC7100422B85}"/>
    <dataValidation allowBlank="1" showInputMessage="1" showErrorMessage="1" prompt="الحرف &quot;ش&quot; يشير إلى الغياب لأسباب شخصية" sqref="G2" xr:uid="{0B70935C-BB5F-4626-ABFE-5EB806210493}"/>
    <dataValidation allowBlank="1" showInputMessage="1" showErrorMessage="1" prompt="الحرف &quot;ع&quot; يشير إلى الغياب بسبب قضاء عطلة" sqref="C2" xr:uid="{7895DEC8-43C2-4C98-80AF-60AD56DC20A0}"/>
    <dataValidation allowBlank="1" showInputMessage="1" showErrorMessage="1" prompt="عنوان محدّث تلقائياً في هذه الخلية. لتعديل العنوان، قم بتحديث B1 في ورقة العمل &quot;يناير&quot;." sqref="B1" xr:uid="{B08030AF-53C0-447B-8111-DF1727AA2510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1389A566-6FF6-4DD3-9E13-04F55F0F96C2}"/>
    <dataValidation allowBlank="1" showInputMessage="1" showErrorMessage="1" prompt="تعقب الغياب في شهر أبريل في ورقة العمل هذه" sqref="A1" xr:uid="{DD3B49B8-DDF2-499A-8349-C2BDD23F9202}"/>
    <dataValidation allowBlank="1" showInputMessage="1" showErrorMessage="1" prompt="يتم حساب إجمالي عدد أيام غياب موظف هذا الشهر في هذا العمود تلقائياً" sqref="AH6" xr:uid="{BEF904CB-2BE7-4230-A621-7B947BDBD8BA}"/>
    <dataValidation allowBlank="1" showInputMessage="1" showErrorMessage="1" prompt="سنة محدّثة تلقائياً استناداً إلى السنة التي تم إدخالها في ورقة عمل &quot;يناير&quot;." sqref="AH4" xr:uid="{2DCA167A-5374-4B29-ABFA-F389AD24B596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CFD978-D1DB-47B3-BFEB-9E5322C43E5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F086-AE1F-4D12-87E2-4606DB6DA3EF}">
  <sheetPr>
    <tabColor theme="2" tint="-9.9978637043366805E-2"/>
    <pageSetUpPr fitToPage="1"/>
  </sheetPr>
  <dimension ref="A1:AI12"/>
  <sheetViews>
    <sheetView showGridLines="0" rightToLeft="1" zoomScale="60" zoomScaleNormal="60" workbookViewId="0">
      <selection activeCell="J16" sqref="J16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57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TEXT(WEEKDAY(DATE(CalendarYear,5,1),1),"aaa")</f>
        <v>الأربعاء</v>
      </c>
      <c r="D5" s="15" t="str">
        <f>TEXT(WEEKDAY(DATE(CalendarYear,5,2),1),"aaa")</f>
        <v>الخميس</v>
      </c>
      <c r="E5" s="15" t="str">
        <f>TEXT(WEEKDAY(DATE(CalendarYear,5,3),1),"aaa")</f>
        <v>الجمعة</v>
      </c>
      <c r="F5" s="15" t="str">
        <f>TEXT(WEEKDAY(DATE(CalendarYear,5,4),1),"aaa")</f>
        <v>السبت</v>
      </c>
      <c r="G5" s="15" t="str">
        <f>TEXT(WEEKDAY(DATE(CalendarYear,5,5),1),"aaa")</f>
        <v>الأحد</v>
      </c>
      <c r="H5" s="15" t="str">
        <f>TEXT(WEEKDAY(DATE(CalendarYear,5,6),1),"aaa")</f>
        <v>الإثنين</v>
      </c>
      <c r="I5" s="15" t="str">
        <f>TEXT(WEEKDAY(DATE(CalendarYear,5,7),1),"aaa")</f>
        <v>الثلاثاء</v>
      </c>
      <c r="J5" s="15" t="str">
        <f>TEXT(WEEKDAY(DATE(CalendarYear,5,8),1),"aaa")</f>
        <v>الأربعاء</v>
      </c>
      <c r="K5" s="15" t="str">
        <f>TEXT(WEEKDAY(DATE(CalendarYear,5,9),1),"aaa")</f>
        <v>الخميس</v>
      </c>
      <c r="L5" s="15" t="str">
        <f>TEXT(WEEKDAY(DATE(CalendarYear,5,10),1),"aaa")</f>
        <v>الجمعة</v>
      </c>
      <c r="M5" s="15" t="str">
        <f>TEXT(WEEKDAY(DATE(CalendarYear,5,11),1),"aaa")</f>
        <v>السبت</v>
      </c>
      <c r="N5" s="15" t="str">
        <f>TEXT(WEEKDAY(DATE(CalendarYear,5,12),1),"aaa")</f>
        <v>الأحد</v>
      </c>
      <c r="O5" s="15" t="str">
        <f>TEXT(WEEKDAY(DATE(CalendarYear,5,13),1),"aaa")</f>
        <v>الإثنين</v>
      </c>
      <c r="P5" s="15" t="str">
        <f>TEXT(WEEKDAY(DATE(CalendarYear,5,14),1),"aaa")</f>
        <v>الثلاثاء</v>
      </c>
      <c r="Q5" s="15" t="str">
        <f>TEXT(WEEKDAY(DATE(CalendarYear,5,15),1),"aaa")</f>
        <v>الأربعاء</v>
      </c>
      <c r="R5" s="15" t="str">
        <f>TEXT(WEEKDAY(DATE(CalendarYear,5,16),1),"aaa")</f>
        <v>الخميس</v>
      </c>
      <c r="S5" s="15" t="str">
        <f>TEXT(WEEKDAY(DATE(CalendarYear,5,17),1),"aaa")</f>
        <v>الجمعة</v>
      </c>
      <c r="T5" s="15" t="str">
        <f>TEXT(WEEKDAY(DATE(CalendarYear,5,18),1),"aaa")</f>
        <v>السبت</v>
      </c>
      <c r="U5" s="15" t="str">
        <f>TEXT(WEEKDAY(DATE(CalendarYear,5,19),1),"aaa")</f>
        <v>الأحد</v>
      </c>
      <c r="V5" s="15" t="str">
        <f>TEXT(WEEKDAY(DATE(CalendarYear,5,20),1),"aaa")</f>
        <v>الإثنين</v>
      </c>
      <c r="W5" s="15" t="str">
        <f>TEXT(WEEKDAY(DATE(CalendarYear,5,21),1),"aaa")</f>
        <v>الثلاثاء</v>
      </c>
      <c r="X5" s="15" t="str">
        <f>TEXT(WEEKDAY(DATE(CalendarYear,5,22),1),"aaa")</f>
        <v>الأربعاء</v>
      </c>
      <c r="Y5" s="15" t="str">
        <f>TEXT(WEEKDAY(DATE(CalendarYear,5,23),1),"aaa")</f>
        <v>الخميس</v>
      </c>
      <c r="Z5" s="15" t="str">
        <f>TEXT(WEEKDAY(DATE(CalendarYear,5,24),1),"aaa")</f>
        <v>الجمعة</v>
      </c>
      <c r="AA5" s="15" t="str">
        <f>TEXT(WEEKDAY(DATE(CalendarYear,5,25),1),"aaa")</f>
        <v>السبت</v>
      </c>
      <c r="AB5" s="15" t="str">
        <f>TEXT(WEEKDAY(DATE(CalendarYear,5,26),1),"aaa")</f>
        <v>الأحد</v>
      </c>
      <c r="AC5" s="15" t="str">
        <f>TEXT(WEEKDAY(DATE(CalendarYear,5,27),1),"aaa")</f>
        <v>الإثنين</v>
      </c>
      <c r="AD5" s="15" t="str">
        <f>TEXT(WEEKDAY(DATE(CalendarYear,5,28),1),"aaa")</f>
        <v>الثلاثاء</v>
      </c>
      <c r="AE5" s="15" t="str">
        <f>TEXT(WEEKDAY(DATE(CalendarYear,5,29),1),"aaa")</f>
        <v>الأربعاء</v>
      </c>
      <c r="AF5" s="15" t="str">
        <f>TEXT(WEEKDAY(DATE(CalendarYear,5,30),1),"aaa")</f>
        <v>الخميس</v>
      </c>
      <c r="AG5" s="15" t="str">
        <f>TEXT(WEEKDAY(DATE(CalendarYear,5,31),1),"aaa")</f>
        <v>الجمعة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COUNTA(مايو[[#This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COUNTA(مايو[[#This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COUNTA(مايو[[#This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COUNTA(مايو[[#This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COUNTA(مايو[[#This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مايو</v>
      </c>
      <c r="C12" s="21">
        <f>SUBTOTAL(103,مايو[1])</f>
        <v>0</v>
      </c>
      <c r="D12" s="21">
        <f>SUBTOTAL(103,مايو[2])</f>
        <v>0</v>
      </c>
      <c r="E12" s="21">
        <f>SUBTOTAL(103,مايو[3])</f>
        <v>0</v>
      </c>
      <c r="F12" s="21">
        <f>SUBTOTAL(103,مايو[4])</f>
        <v>0</v>
      </c>
      <c r="G12" s="21">
        <f>SUBTOTAL(103,مايو[5])</f>
        <v>0</v>
      </c>
      <c r="H12" s="21">
        <f>SUBTOTAL(103,مايو[6])</f>
        <v>0</v>
      </c>
      <c r="I12" s="21">
        <f>SUBTOTAL(103,مايو[7])</f>
        <v>0</v>
      </c>
      <c r="J12" s="21">
        <f>SUBTOTAL(103,مايو[8])</f>
        <v>0</v>
      </c>
      <c r="K12" s="21">
        <f>SUBTOTAL(103,مايو[9])</f>
        <v>0</v>
      </c>
      <c r="L12" s="21">
        <f>SUBTOTAL(103,مايو[10])</f>
        <v>0</v>
      </c>
      <c r="M12" s="21">
        <f>SUBTOTAL(103,مايو[11])</f>
        <v>0</v>
      </c>
      <c r="N12" s="21">
        <f>SUBTOTAL(103,مايو[12])</f>
        <v>0</v>
      </c>
      <c r="O12" s="21">
        <f>SUBTOTAL(103,مايو[13])</f>
        <v>0</v>
      </c>
      <c r="P12" s="21">
        <f>SUBTOTAL(103,مايو[14])</f>
        <v>0</v>
      </c>
      <c r="Q12" s="21">
        <f>SUBTOTAL(103,مايو[15])</f>
        <v>0</v>
      </c>
      <c r="R12" s="21">
        <f>SUBTOTAL(103,مايو[16])</f>
        <v>0</v>
      </c>
      <c r="S12" s="21">
        <f>SUBTOTAL(103,مايو[17])</f>
        <v>0</v>
      </c>
      <c r="T12" s="21">
        <f>SUBTOTAL(103,مايو[18])</f>
        <v>0</v>
      </c>
      <c r="U12" s="21">
        <f>SUBTOTAL(103,مايو[19])</f>
        <v>0</v>
      </c>
      <c r="V12" s="21">
        <f>SUBTOTAL(103,مايو[20])</f>
        <v>0</v>
      </c>
      <c r="W12" s="21">
        <f>SUBTOTAL(103,مايو[21])</f>
        <v>0</v>
      </c>
      <c r="X12" s="21">
        <f>SUBTOTAL(103,مايو[22])</f>
        <v>0</v>
      </c>
      <c r="Y12" s="21">
        <f>SUBTOTAL(103,مايو[23])</f>
        <v>0</v>
      </c>
      <c r="Z12" s="21">
        <f>SUBTOTAL(103,مايو[24])</f>
        <v>0</v>
      </c>
      <c r="AA12" s="21">
        <f>SUBTOTAL(103,مايو[25])</f>
        <v>0</v>
      </c>
      <c r="AB12" s="21">
        <f>SUBTOTAL(103,مايو[26])</f>
        <v>0</v>
      </c>
      <c r="AC12" s="21">
        <f>SUBTOTAL(103,مايو[27])</f>
        <v>0</v>
      </c>
      <c r="AD12" s="21">
        <f>SUBTOTAL(103,مايو[28])</f>
        <v>0</v>
      </c>
      <c r="AE12" s="21">
        <f>SUBTOTAL(103,مايو[29])</f>
        <v>0</v>
      </c>
      <c r="AF12" s="21">
        <f>SUBTOTAL(103,مايو[30])</f>
        <v>0</v>
      </c>
      <c r="AG12" s="21">
        <f>SUBTOTAL(103,مايو[31])</f>
        <v>0</v>
      </c>
      <c r="AH12" s="21">
        <f>SUBTOTAL(109,مايو[إجمالي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596" priority="2" stopIfTrue="1">
      <formula>C7=KeyCustom2</formula>
    </cfRule>
    <cfRule type="expression" dxfId="595" priority="3" stopIfTrue="1">
      <formula>C7=KeyCustom1</formula>
    </cfRule>
    <cfRule type="expression" dxfId="594" priority="4" stopIfTrue="1">
      <formula>C7=KeySick</formula>
    </cfRule>
    <cfRule type="expression" dxfId="593" priority="5" stopIfTrue="1">
      <formula>C7=KeyPersonal</formula>
    </cfRule>
    <cfRule type="expression" dxfId="592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{60E529D6-00F3-4DB8-BF64-94722086F2EF}</x14:id>
        </ext>
      </extLst>
    </cfRule>
  </conditionalFormatting>
  <dataValidations count="14"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76A54CC8-8DBC-4C48-892E-78564CF7C879}"/>
    <dataValidation allowBlank="1" showInputMessage="1" showErrorMessage="1" prompt="سنة محدّثة تلقائياً استناداً إلى السنة التي تم إدخالها في ورقة عمل &quot;يناير&quot;." sqref="AH4" xr:uid="{E451F621-F3E3-4753-994E-E6F07CEB435A}"/>
    <dataValidation allowBlank="1" showInputMessage="1" showErrorMessage="1" prompt="يتم حساب إجمالي عدد أيام غياب موظف هذا الشهر في هذا العمود تلقائياً" sqref="AH6" xr:uid="{98F61907-742F-4590-89F7-EF6537FB3B2F}"/>
    <dataValidation allowBlank="1" showInputMessage="1" showErrorMessage="1" prompt="تعقب الغياب في شهر مايو في ورقة العمل هذه" sqref="A1" xr:uid="{34145E38-32EE-4095-8802-243EE19E3A77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336DB570-D4CF-4A8E-B856-9D84E906F509}"/>
    <dataValidation allowBlank="1" showInputMessage="1" showErrorMessage="1" prompt="عنوان محدّث تلقائياً في هذه الخلية. لتعديل العنوان، قم بتحديث B1 في ورقة العمل &quot;يناير&quot;." sqref="B1" xr:uid="{61B4CC83-132C-4511-811E-68F1DD722B46}"/>
    <dataValidation allowBlank="1" showInputMessage="1" showErrorMessage="1" prompt="الحرف &quot;ع&quot; يشير إلى الغياب بسبب قضاء عطلة" sqref="C2" xr:uid="{32B8F3E6-DC47-474F-AEB5-2FCEEC82BF8D}"/>
    <dataValidation allowBlank="1" showInputMessage="1" showErrorMessage="1" prompt="الحرف &quot;ش&quot; يشير إلى الغياب لأسباب شخصية" sqref="G2" xr:uid="{A80415A9-D9CD-4253-8561-1E484CC40BB1}"/>
    <dataValidation allowBlank="1" showInputMessage="1" showErrorMessage="1" prompt="الحرف &quot;م&quot; يشير إلى الغياب بسبب المرض" sqref="K2" xr:uid="{0F47E429-7D26-43DB-BA29-B4E99CD663F9}"/>
    <dataValidation allowBlank="1" showInputMessage="1" showErrorMessage="1" prompt="أدخل حرفاً وخصّص التسمية مباشرة لإضافة عنصر مفتاحي آخر" sqref="N2 R2" xr:uid="{7014BFF0-FA53-44A6-BF9B-EB8DA1241654}"/>
    <dataValidation allowBlank="1" showInputMessage="1" showErrorMessage="1" prompt="أدخل تسمية لوصف المفتاح المخصص على اليمين" sqref="O2:Q2 S2:U2" xr:uid="{F9F0FEC2-9338-4ABA-BD6A-88FA36C0B7D7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200D2D82-B14A-40B8-B729-0A0B60BD7F1E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49F55975-704D-46B3-BF4D-19AB63F017F1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1154161A-5F46-4DF2-96E0-34FE13071F09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529D6-00F3-4DB8-BF64-94722086F2EF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3C7A-0F0E-4AA9-9337-08D4856680DF}">
  <sheetPr>
    <tabColor theme="2"/>
    <pageSetUpPr fitToPage="1"/>
  </sheetPr>
  <dimension ref="A1:AI12"/>
  <sheetViews>
    <sheetView showGridLines="0" rightToLeft="1" zoomScale="60" zoomScaleNormal="60" workbookViewId="0">
      <selection activeCell="K15" sqref="K15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58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TEXT(WEEKDAY(DATE(CalendarYear,6,1),1),"aaa")</f>
        <v>السبت</v>
      </c>
      <c r="D5" s="15" t="str">
        <f>TEXT(WEEKDAY(DATE(CalendarYear,6,2),1),"aaa")</f>
        <v>الأحد</v>
      </c>
      <c r="E5" s="15" t="str">
        <f>TEXT(WEEKDAY(DATE(CalendarYear,6,3),1),"aaa")</f>
        <v>الإثنين</v>
      </c>
      <c r="F5" s="15" t="str">
        <f>TEXT(WEEKDAY(DATE(CalendarYear,6,4),1),"aaa")</f>
        <v>الثلاثاء</v>
      </c>
      <c r="G5" s="15" t="str">
        <f>TEXT(WEEKDAY(DATE(CalendarYear,6,5),1),"aaa")</f>
        <v>الأربعاء</v>
      </c>
      <c r="H5" s="15" t="str">
        <f>TEXT(WEEKDAY(DATE(CalendarYear,6,6),1),"aaa")</f>
        <v>الخميس</v>
      </c>
      <c r="I5" s="15" t="str">
        <f>TEXT(WEEKDAY(DATE(CalendarYear,6,7),1),"aaa")</f>
        <v>الجمعة</v>
      </c>
      <c r="J5" s="15" t="str">
        <f>TEXT(WEEKDAY(DATE(CalendarYear,6,8),1),"aaa")</f>
        <v>السبت</v>
      </c>
      <c r="K5" s="15" t="str">
        <f>TEXT(WEEKDAY(DATE(CalendarYear,6,9),1),"aaa")</f>
        <v>الأحد</v>
      </c>
      <c r="L5" s="15" t="str">
        <f>TEXT(WEEKDAY(DATE(CalendarYear,6,10),1),"aaa")</f>
        <v>الإثنين</v>
      </c>
      <c r="M5" s="15" t="str">
        <f>TEXT(WEEKDAY(DATE(CalendarYear,6,11),1),"aaa")</f>
        <v>الثلاثاء</v>
      </c>
      <c r="N5" s="15" t="str">
        <f>TEXT(WEEKDAY(DATE(CalendarYear,6,12),1),"aaa")</f>
        <v>الأربعاء</v>
      </c>
      <c r="O5" s="15" t="str">
        <f>TEXT(WEEKDAY(DATE(CalendarYear,6,13),1),"aaa")</f>
        <v>الخميس</v>
      </c>
      <c r="P5" s="15" t="str">
        <f>TEXT(WEEKDAY(DATE(CalendarYear,6,14),1),"aaa")</f>
        <v>الجمعة</v>
      </c>
      <c r="Q5" s="15" t="str">
        <f>TEXT(WEEKDAY(DATE(CalendarYear,6,15),1),"aaa")</f>
        <v>السبت</v>
      </c>
      <c r="R5" s="15" t="str">
        <f>TEXT(WEEKDAY(DATE(CalendarYear,6,16),1),"aaa")</f>
        <v>الأحد</v>
      </c>
      <c r="S5" s="15" t="str">
        <f>TEXT(WEEKDAY(DATE(CalendarYear,6,17),1),"aaa")</f>
        <v>الإثنين</v>
      </c>
      <c r="T5" s="15" t="str">
        <f>TEXT(WEEKDAY(DATE(CalendarYear,6,18),1),"aaa")</f>
        <v>الثلاثاء</v>
      </c>
      <c r="U5" s="15" t="str">
        <f>TEXT(WEEKDAY(DATE(CalendarYear,6,19),1),"aaa")</f>
        <v>الأربعاء</v>
      </c>
      <c r="V5" s="15" t="str">
        <f>TEXT(WEEKDAY(DATE(CalendarYear,6,20),1),"aaa")</f>
        <v>الخميس</v>
      </c>
      <c r="W5" s="15" t="str">
        <f>TEXT(WEEKDAY(DATE(CalendarYear,6,21),1),"aaa")</f>
        <v>الجمعة</v>
      </c>
      <c r="X5" s="15" t="str">
        <f>TEXT(WEEKDAY(DATE(CalendarYear,6,22),1),"aaa")</f>
        <v>السبت</v>
      </c>
      <c r="Y5" s="15" t="str">
        <f>TEXT(WEEKDAY(DATE(CalendarYear,6,23),1),"aaa")</f>
        <v>الأحد</v>
      </c>
      <c r="Z5" s="15" t="str">
        <f>TEXT(WEEKDAY(DATE(CalendarYear,6,24),1),"aaa")</f>
        <v>الإثنين</v>
      </c>
      <c r="AA5" s="15" t="str">
        <f>TEXT(WEEKDAY(DATE(CalendarYear,6,25),1),"aaa")</f>
        <v>الثلاثاء</v>
      </c>
      <c r="AB5" s="15" t="str">
        <f>TEXT(WEEKDAY(DATE(CalendarYear,6,26),1),"aaa")</f>
        <v>الأربعاء</v>
      </c>
      <c r="AC5" s="15" t="str">
        <f>TEXT(WEEKDAY(DATE(CalendarYear,6,27),1),"aaa")</f>
        <v>الخميس</v>
      </c>
      <c r="AD5" s="15" t="str">
        <f>TEXT(WEEKDAY(DATE(CalendarYear,6,28),1),"aaa")</f>
        <v>الجمعة</v>
      </c>
      <c r="AE5" s="15" t="str">
        <f>TEXT(WEEKDAY(DATE(CalendarYear,6,29),1),"aaa")</f>
        <v>السبت</v>
      </c>
      <c r="AF5" s="15" t="str">
        <f>TEXT(WEEKDAY(DATE(CalendarYear,6,30),1),"aaa")</f>
        <v>الأحد</v>
      </c>
      <c r="AG5" s="15"/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53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COUNTA(يونيو[[#This Row],[1]:[30]])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COUNTA(يونيو[[#This Row],[1]:[30]])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COUNTA(يونيو[[#This Row],[1]:[30]])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COUNTA(يونيو[[#This Row],[1]:[30]])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COUNTA(يونيو[[#This Row],[1]:[30]])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يونيو</v>
      </c>
      <c r="C12" s="21">
        <f>SUBTOTAL(103,يونيو[1])</f>
        <v>0</v>
      </c>
      <c r="D12" s="21">
        <f>SUBTOTAL(103,يونيو[2])</f>
        <v>0</v>
      </c>
      <c r="E12" s="21">
        <f>SUBTOTAL(103,يونيو[3])</f>
        <v>0</v>
      </c>
      <c r="F12" s="21">
        <f>SUBTOTAL(103,يونيو[4])</f>
        <v>0</v>
      </c>
      <c r="G12" s="21">
        <f>SUBTOTAL(103,يونيو[5])</f>
        <v>0</v>
      </c>
      <c r="H12" s="21">
        <f>SUBTOTAL(103,يونيو[6])</f>
        <v>0</v>
      </c>
      <c r="I12" s="21">
        <f>SUBTOTAL(103,يونيو[7])</f>
        <v>0</v>
      </c>
      <c r="J12" s="21">
        <f>SUBTOTAL(103,يونيو[8])</f>
        <v>0</v>
      </c>
      <c r="K12" s="21">
        <f>SUBTOTAL(103,يونيو[9])</f>
        <v>0</v>
      </c>
      <c r="L12" s="21">
        <f>SUBTOTAL(103,يونيو[10])</f>
        <v>0</v>
      </c>
      <c r="M12" s="21">
        <f>SUBTOTAL(103,يونيو[11])</f>
        <v>0</v>
      </c>
      <c r="N12" s="21">
        <f>SUBTOTAL(103,يونيو[12])</f>
        <v>0</v>
      </c>
      <c r="O12" s="21">
        <f>SUBTOTAL(103,يونيو[13])</f>
        <v>0</v>
      </c>
      <c r="P12" s="21">
        <f>SUBTOTAL(103,يونيو[14])</f>
        <v>0</v>
      </c>
      <c r="Q12" s="21">
        <f>SUBTOTAL(103,يونيو[15])</f>
        <v>0</v>
      </c>
      <c r="R12" s="21">
        <f>SUBTOTAL(103,يونيو[16])</f>
        <v>0</v>
      </c>
      <c r="S12" s="21">
        <f>SUBTOTAL(103,يونيو[17])</f>
        <v>0</v>
      </c>
      <c r="T12" s="21">
        <f>SUBTOTAL(103,يونيو[18])</f>
        <v>0</v>
      </c>
      <c r="U12" s="21">
        <f>SUBTOTAL(103,يونيو[19])</f>
        <v>0</v>
      </c>
      <c r="V12" s="21">
        <f>SUBTOTAL(103,يونيو[20])</f>
        <v>0</v>
      </c>
      <c r="W12" s="21">
        <f>SUBTOTAL(103,يونيو[21])</f>
        <v>0</v>
      </c>
      <c r="X12" s="21">
        <f>SUBTOTAL(103,يونيو[22])</f>
        <v>0</v>
      </c>
      <c r="Y12" s="21">
        <f>SUBTOTAL(103,يونيو[23])</f>
        <v>0</v>
      </c>
      <c r="Z12" s="21">
        <f>SUBTOTAL(103,يونيو[24])</f>
        <v>0</v>
      </c>
      <c r="AA12" s="21">
        <f>SUBTOTAL(103,يونيو[25])</f>
        <v>0</v>
      </c>
      <c r="AB12" s="21">
        <f>SUBTOTAL(103,يونيو[26])</f>
        <v>0</v>
      </c>
      <c r="AC12" s="21">
        <f>SUBTOTAL(103,يونيو[27])</f>
        <v>0</v>
      </c>
      <c r="AD12" s="21">
        <f>SUBTOTAL(103,يونيو[28])</f>
        <v>0</v>
      </c>
      <c r="AE12" s="21">
        <f>SUBTOTAL(103,يونيو[29])</f>
        <v>0</v>
      </c>
      <c r="AF12" s="21">
        <f>SUBTOTAL(103,يونيو[30])</f>
        <v>0</v>
      </c>
      <c r="AG12" s="21">
        <f>SUBTOTAL(103,يونيو[[ ]])</f>
        <v>0</v>
      </c>
      <c r="AH12" s="21">
        <f>SUBTOTAL(109,يونيو[إجمالي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522" priority="2" stopIfTrue="1">
      <formula>C7=KeyCustom2</formula>
    </cfRule>
    <cfRule type="expression" dxfId="521" priority="3" stopIfTrue="1">
      <formula>C7=KeyCustom1</formula>
    </cfRule>
    <cfRule type="expression" dxfId="520" priority="4" stopIfTrue="1">
      <formula>C7=KeySick</formula>
    </cfRule>
    <cfRule type="expression" dxfId="519" priority="5" stopIfTrue="1">
      <formula>C7=KeyPersonal</formula>
    </cfRule>
    <cfRule type="expression" dxfId="518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{C9BC1E61-C104-4838-817C-DFAC2D311C2A}</x14:id>
        </ext>
      </extLst>
    </cfRule>
  </conditionalFormatting>
  <dataValidations count="14"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78ACE8CE-3EB5-4FF4-942D-EF43A0674DCD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C9D4EDF2-8014-4E81-A7EE-C8AF99AD7066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8D9C7CBD-0E4F-40BE-B975-ADA015D7EDB1}"/>
    <dataValidation allowBlank="1" showInputMessage="1" showErrorMessage="1" prompt="أدخل تسمية لوصف المفتاح المخصص على اليمين" sqref="O2:Q2 S2:U2" xr:uid="{1695B06E-CC48-4384-9BD5-14B3F791E76F}"/>
    <dataValidation allowBlank="1" showInputMessage="1" showErrorMessage="1" prompt="أدخل حرفاً وخصّص التسمية مباشرة لإضافة عنصر مفتاحي آخر" sqref="N2 R2" xr:uid="{CB0664D1-BAF9-4657-8AA9-1C52E2081245}"/>
    <dataValidation allowBlank="1" showInputMessage="1" showErrorMessage="1" prompt="الحرف &quot;م&quot; يشير إلى الغياب بسبب المرض" sqref="K2" xr:uid="{6C61A0AB-387E-4C92-86A0-77B9F12C693D}"/>
    <dataValidation allowBlank="1" showInputMessage="1" showErrorMessage="1" prompt="الحرف &quot;ش&quot; يشير إلى الغياب لأسباب شخصية" sqref="G2" xr:uid="{F956ACBE-1F0C-49D9-B767-3FF31607EF31}"/>
    <dataValidation allowBlank="1" showInputMessage="1" showErrorMessage="1" prompt="الحرف &quot;ع&quot; يشير إلى الغياب بسبب قضاء عطلة" sqref="C2" xr:uid="{73D84E7D-9222-45C1-91EF-13F546AF4C4A}"/>
    <dataValidation allowBlank="1" showInputMessage="1" showErrorMessage="1" prompt="عنوان محدّث تلقائياً في هذه الخلية. لتعديل العنوان، قم بتحديث B1 في ورقة العمل &quot;يناير&quot;." sqref="B1" xr:uid="{35FEC0A1-09B8-42B0-BD3F-DEA339C0476A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F863FABE-1924-416A-8785-6729948BC16C}"/>
    <dataValidation allowBlank="1" showInputMessage="1" showErrorMessage="1" prompt="تعقب الغياب في شهر يونيو في ورقة العمل هذه" sqref="A1" xr:uid="{F89EFAFA-8CF0-402C-BE50-F4F24D25BC29}"/>
    <dataValidation allowBlank="1" showInputMessage="1" showErrorMessage="1" prompt="يتم حساب إجمالي عدد أيام غياب موظف هذا الشهر في هذا العمود تلقائياً" sqref="AH6" xr:uid="{F0718153-F04E-486C-9B23-4F78CA885BF5}"/>
    <dataValidation allowBlank="1" showInputMessage="1" showErrorMessage="1" prompt="سنة محدّثة تلقائياً استناداً إلى السنة التي تم إدخالها في ورقة عمل &quot;يناير&quot;." sqref="AH4" xr:uid="{9817C41C-1A3C-468B-A383-12BB4861565A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878BF2A2-498A-4049-B584-96E8C917F3D6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BC1E61-C104-4838-817C-DFAC2D311C2A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BA87-FF44-42D3-9A6B-3397026EC3FF}">
  <sheetPr>
    <tabColor theme="1"/>
    <pageSetUpPr fitToPage="1"/>
  </sheetPr>
  <dimension ref="A1:AI12"/>
  <sheetViews>
    <sheetView showGridLines="0" rightToLeft="1" zoomScale="60" zoomScaleNormal="60" workbookViewId="0">
      <selection activeCell="L16" sqref="L16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59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TEXT(WEEKDAY(DATE(CalendarYear,7,1),1),"aaa")</f>
        <v>الإثنين</v>
      </c>
      <c r="D5" s="15" t="str">
        <f>TEXT(WEEKDAY(DATE(CalendarYear,7,2),1),"aaa")</f>
        <v>الثلاثاء</v>
      </c>
      <c r="E5" s="15" t="str">
        <f>TEXT(WEEKDAY(DATE(CalendarYear,7,3),1),"aaa")</f>
        <v>الأربعاء</v>
      </c>
      <c r="F5" s="15" t="str">
        <f>TEXT(WEEKDAY(DATE(CalendarYear,7,4),1),"aaa")</f>
        <v>الخميس</v>
      </c>
      <c r="G5" s="15" t="str">
        <f>TEXT(WEEKDAY(DATE(CalendarYear,7,5),1),"aaa")</f>
        <v>الجمعة</v>
      </c>
      <c r="H5" s="15" t="str">
        <f>TEXT(WEEKDAY(DATE(CalendarYear,7,6),1),"aaa")</f>
        <v>السبت</v>
      </c>
      <c r="I5" s="15" t="str">
        <f>TEXT(WEEKDAY(DATE(CalendarYear,7,7),1),"aaa")</f>
        <v>الأحد</v>
      </c>
      <c r="J5" s="15" t="str">
        <f>TEXT(WEEKDAY(DATE(CalendarYear,7,8),1),"aaa")</f>
        <v>الإثنين</v>
      </c>
      <c r="K5" s="15" t="str">
        <f>TEXT(WEEKDAY(DATE(CalendarYear,7,9),1),"aaa")</f>
        <v>الثلاثاء</v>
      </c>
      <c r="L5" s="15" t="str">
        <f>TEXT(WEEKDAY(DATE(CalendarYear,7,10),1),"aaa")</f>
        <v>الأربعاء</v>
      </c>
      <c r="M5" s="15" t="str">
        <f>TEXT(WEEKDAY(DATE(CalendarYear,7,11),1),"aaa")</f>
        <v>الخميس</v>
      </c>
      <c r="N5" s="15" t="str">
        <f>TEXT(WEEKDAY(DATE(CalendarYear,7,12),1),"aaa")</f>
        <v>الجمعة</v>
      </c>
      <c r="O5" s="15" t="str">
        <f>TEXT(WEEKDAY(DATE(CalendarYear,7,13),1),"aaa")</f>
        <v>السبت</v>
      </c>
      <c r="P5" s="15" t="str">
        <f>TEXT(WEEKDAY(DATE(CalendarYear,7,14),1),"aaa")</f>
        <v>الأحد</v>
      </c>
      <c r="Q5" s="15" t="str">
        <f>TEXT(WEEKDAY(DATE(CalendarYear,7,15),1),"aaa")</f>
        <v>الإثنين</v>
      </c>
      <c r="R5" s="15" t="str">
        <f>TEXT(WEEKDAY(DATE(CalendarYear,7,16),1),"aaa")</f>
        <v>الثلاثاء</v>
      </c>
      <c r="S5" s="15" t="str">
        <f>TEXT(WEEKDAY(DATE(CalendarYear,7,17),1),"aaa")</f>
        <v>الأربعاء</v>
      </c>
      <c r="T5" s="15" t="str">
        <f>TEXT(WEEKDAY(DATE(CalendarYear,7,18),1),"aaa")</f>
        <v>الخميس</v>
      </c>
      <c r="U5" s="15" t="str">
        <f>TEXT(WEEKDAY(DATE(CalendarYear,7,19),1),"aaa")</f>
        <v>الجمعة</v>
      </c>
      <c r="V5" s="15" t="str">
        <f>TEXT(WEEKDAY(DATE(CalendarYear,7,20),1),"aaa")</f>
        <v>السبت</v>
      </c>
      <c r="W5" s="15" t="str">
        <f>TEXT(WEEKDAY(DATE(CalendarYear,7,21),1),"aaa")</f>
        <v>الأحد</v>
      </c>
      <c r="X5" s="15" t="str">
        <f>TEXT(WEEKDAY(DATE(CalendarYear,7,22),1),"aaa")</f>
        <v>الإثنين</v>
      </c>
      <c r="Y5" s="15" t="str">
        <f>TEXT(WEEKDAY(DATE(CalendarYear,7,23),1),"aaa")</f>
        <v>الثلاثاء</v>
      </c>
      <c r="Z5" s="15" t="str">
        <f>TEXT(WEEKDAY(DATE(CalendarYear,7,24),1),"aaa")</f>
        <v>الأربعاء</v>
      </c>
      <c r="AA5" s="15" t="str">
        <f>TEXT(WEEKDAY(DATE(CalendarYear,7,25),1),"aaa")</f>
        <v>الخميس</v>
      </c>
      <c r="AB5" s="15" t="str">
        <f>TEXT(WEEKDAY(DATE(CalendarYear,7,26),1),"aaa")</f>
        <v>الجمعة</v>
      </c>
      <c r="AC5" s="15" t="str">
        <f>TEXT(WEEKDAY(DATE(CalendarYear,7,27),1),"aaa")</f>
        <v>السبت</v>
      </c>
      <c r="AD5" s="15" t="str">
        <f>TEXT(WEEKDAY(DATE(CalendarYear,7,28),1),"aaa")</f>
        <v>الأحد</v>
      </c>
      <c r="AE5" s="15" t="str">
        <f>TEXT(WEEKDAY(DATE(CalendarYear,7,29),1),"aaa")</f>
        <v>الإثنين</v>
      </c>
      <c r="AF5" s="15" t="str">
        <f>TEXT(WEEKDAY(DATE(CalendarYear,7,30),1),"aaa")</f>
        <v>الثلاثاء</v>
      </c>
      <c r="AG5" s="15" t="str">
        <f>TEXT(WEEKDAY(DATE(CalendarYear,7,31),1),"aaa")</f>
        <v>الأربعاء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COUNTA(يوليو[[#This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COUNTA(يوليو[[#This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COUNTA(يوليو[[#This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COUNTA(يوليو[[#This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COUNTA(يوليو[[#This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يوليو</v>
      </c>
      <c r="C12" s="21">
        <f>SUBTOTAL(103,يوليو[1])</f>
        <v>0</v>
      </c>
      <c r="D12" s="21">
        <f>SUBTOTAL(103,يوليو[2])</f>
        <v>0</v>
      </c>
      <c r="E12" s="21">
        <f>SUBTOTAL(103,يوليو[3])</f>
        <v>0</v>
      </c>
      <c r="F12" s="21">
        <f>SUBTOTAL(103,يوليو[4])</f>
        <v>0</v>
      </c>
      <c r="G12" s="21">
        <f>SUBTOTAL(103,يوليو[5])</f>
        <v>0</v>
      </c>
      <c r="H12" s="21">
        <f>SUBTOTAL(103,يوليو[6])</f>
        <v>0</v>
      </c>
      <c r="I12" s="21">
        <f>SUBTOTAL(103,يوليو[7])</f>
        <v>0</v>
      </c>
      <c r="J12" s="21">
        <f>SUBTOTAL(103,يوليو[8])</f>
        <v>0</v>
      </c>
      <c r="K12" s="21">
        <f>SUBTOTAL(103,يوليو[9])</f>
        <v>0</v>
      </c>
      <c r="L12" s="21">
        <f>SUBTOTAL(103,يوليو[10])</f>
        <v>0</v>
      </c>
      <c r="M12" s="21">
        <f>SUBTOTAL(103,يوليو[11])</f>
        <v>0</v>
      </c>
      <c r="N12" s="21">
        <f>SUBTOTAL(103,يوليو[12])</f>
        <v>0</v>
      </c>
      <c r="O12" s="21">
        <f>SUBTOTAL(103,يوليو[13])</f>
        <v>0</v>
      </c>
      <c r="P12" s="21">
        <f>SUBTOTAL(103,يوليو[14])</f>
        <v>0</v>
      </c>
      <c r="Q12" s="21">
        <f>SUBTOTAL(103,يوليو[15])</f>
        <v>0</v>
      </c>
      <c r="R12" s="21">
        <f>SUBTOTAL(103,يوليو[16])</f>
        <v>0</v>
      </c>
      <c r="S12" s="21">
        <f>SUBTOTAL(103,يوليو[17])</f>
        <v>0</v>
      </c>
      <c r="T12" s="21">
        <f>SUBTOTAL(103,يوليو[18])</f>
        <v>0</v>
      </c>
      <c r="U12" s="21">
        <f>SUBTOTAL(103,يوليو[19])</f>
        <v>0</v>
      </c>
      <c r="V12" s="21">
        <f>SUBTOTAL(103,يوليو[20])</f>
        <v>0</v>
      </c>
      <c r="W12" s="21">
        <f>SUBTOTAL(103,يوليو[21])</f>
        <v>0</v>
      </c>
      <c r="X12" s="21">
        <f>SUBTOTAL(103,يوليو[22])</f>
        <v>0</v>
      </c>
      <c r="Y12" s="21">
        <f>SUBTOTAL(103,يوليو[23])</f>
        <v>0</v>
      </c>
      <c r="Z12" s="21">
        <f>SUBTOTAL(103,يوليو[24])</f>
        <v>0</v>
      </c>
      <c r="AA12" s="21">
        <f>SUBTOTAL(103,يوليو[25])</f>
        <v>0</v>
      </c>
      <c r="AB12" s="21">
        <f>SUBTOTAL(103,يوليو[26])</f>
        <v>0</v>
      </c>
      <c r="AC12" s="21">
        <f>SUBTOTAL(103,يوليو[27])</f>
        <v>0</v>
      </c>
      <c r="AD12" s="21">
        <f>SUBTOTAL(103,يوليو[28])</f>
        <v>0</v>
      </c>
      <c r="AE12" s="21">
        <f>SUBTOTAL(103,يوليو[29])</f>
        <v>0</v>
      </c>
      <c r="AF12" s="21">
        <f>SUBTOTAL(103,يوليو[30])</f>
        <v>0</v>
      </c>
      <c r="AG12" s="21">
        <f>SUBTOTAL(103,يوليو[31])</f>
        <v>0</v>
      </c>
      <c r="AH12" s="21">
        <f>SUBTOTAL(109,يوليو[إجمالي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448" priority="2" stopIfTrue="1">
      <formula>C7=KeyCustom2</formula>
    </cfRule>
    <cfRule type="expression" dxfId="447" priority="3" stopIfTrue="1">
      <formula>C7=KeyCustom1</formula>
    </cfRule>
    <cfRule type="expression" dxfId="446" priority="4" stopIfTrue="1">
      <formula>C7=KeySick</formula>
    </cfRule>
    <cfRule type="expression" dxfId="445" priority="5" stopIfTrue="1">
      <formula>C7=KeyPersonal</formula>
    </cfRule>
    <cfRule type="expression" dxfId="444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{660C35CC-2A49-4E66-923B-986C291525B8}</x14:id>
        </ext>
      </extLst>
    </cfRule>
  </conditionalFormatting>
  <dataValidations count="14"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2076A2D7-B1D1-49B0-ABC8-2630151E7E5C}"/>
    <dataValidation allowBlank="1" showInputMessage="1" showErrorMessage="1" prompt="سنة محدّثة تلقائياً استناداً إلى السنة التي تم إدخالها في ورقة عمل &quot;يناير&quot;." sqref="AH4" xr:uid="{447C5218-C834-40F2-A49A-C4727ADB624E}"/>
    <dataValidation allowBlank="1" showInputMessage="1" showErrorMessage="1" prompt="يتم حساب إجمالي عدد أيام غياب موظف هذا الشهر في هذا العمود تلقائياً" sqref="AH6" xr:uid="{9909C742-70D8-44F8-8876-8757F0235240}"/>
    <dataValidation allowBlank="1" showInputMessage="1" showErrorMessage="1" prompt="تعقب الغياب في شهر يوليو في ورقة العمل هذه" sqref="A1" xr:uid="{C71D8361-920E-4D93-923D-983B96414D56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C019DD0A-88C0-4D71-B363-CF4A7521B7AC}"/>
    <dataValidation allowBlank="1" showInputMessage="1" showErrorMessage="1" prompt="عنوان محدّث تلقائياً في هذه الخلية. لتعديل العنوان، قم بتحديث B1 في ورقة العمل &quot;يناير&quot;." sqref="B1" xr:uid="{501F9F48-0B80-4197-B687-84025BCCCB76}"/>
    <dataValidation allowBlank="1" showInputMessage="1" showErrorMessage="1" prompt="الحرف &quot;ع&quot; يشير إلى الغياب بسبب قضاء عطلة" sqref="C2" xr:uid="{E41F10FF-E770-4090-B899-5AEB16D33460}"/>
    <dataValidation allowBlank="1" showInputMessage="1" showErrorMessage="1" prompt="الحرف &quot;ش&quot; يشير إلى الغياب لأسباب شخصية" sqref="G2" xr:uid="{5E4B7657-DB1C-46E0-91E7-21CF537E7544}"/>
    <dataValidation allowBlank="1" showInputMessage="1" showErrorMessage="1" prompt="الحرف &quot;م&quot; يشير إلى الغياب بسبب المرض" sqref="K2" xr:uid="{2E560D73-ED29-4C90-A3AF-E32DAEA02B99}"/>
    <dataValidation allowBlank="1" showInputMessage="1" showErrorMessage="1" prompt="أدخل حرفاً وخصّص التسمية مباشرة لإضافة عنصر مفتاحي آخر" sqref="N2 R2" xr:uid="{79769451-14CD-48F7-94E0-5782733DC93D}"/>
    <dataValidation allowBlank="1" showInputMessage="1" showErrorMessage="1" prompt="أدخل تسمية لوصف المفتاح المخصص على اليمين" sqref="O2:Q2 S2:U2" xr:uid="{067F2D30-2765-405D-B8E2-F58D601E457C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171019D9-041F-4E84-84A1-60BABA316D01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CA7E8275-2AA8-4E4A-9657-1AD95C2EF53A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5CA85C36-964D-4547-97A0-C9C2AAF5C50B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0C35CC-2A49-4E66-923B-986C291525B8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FC6C-F8BB-4DF0-B3F1-83E023F8BD2D}">
  <sheetPr>
    <tabColor theme="2" tint="-0.749992370372631"/>
    <pageSetUpPr fitToPage="1"/>
  </sheetPr>
  <dimension ref="A1:AI12"/>
  <sheetViews>
    <sheetView showGridLines="0" rightToLeft="1" tabSelected="1" zoomScale="60" zoomScaleNormal="60" workbookViewId="0">
      <selection activeCell="P12" sqref="P12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27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60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TEXT(WEEKDAY(DATE(CalendarYear,8,1),1),"aaa")</f>
        <v>الخميس</v>
      </c>
      <c r="D5" s="15" t="str">
        <f>TEXT(WEEKDAY(DATE(CalendarYear,8,2),1),"aaa")</f>
        <v>الجمعة</v>
      </c>
      <c r="E5" s="15" t="str">
        <f>TEXT(WEEKDAY(DATE(CalendarYear,8,3),1),"aaa")</f>
        <v>السبت</v>
      </c>
      <c r="F5" s="15" t="str">
        <f>TEXT(WEEKDAY(DATE(CalendarYear,8,4),1),"aaa")</f>
        <v>الأحد</v>
      </c>
      <c r="G5" s="15" t="str">
        <f>TEXT(WEEKDAY(DATE(CalendarYear,8,5),1),"aaa")</f>
        <v>الإثنين</v>
      </c>
      <c r="H5" s="15" t="str">
        <f>TEXT(WEEKDAY(DATE(CalendarYear,8,6),1),"aaa")</f>
        <v>الثلاثاء</v>
      </c>
      <c r="I5" s="15" t="str">
        <f>TEXT(WEEKDAY(DATE(CalendarYear,8,7),1),"aaa")</f>
        <v>الأربعاء</v>
      </c>
      <c r="J5" s="15" t="str">
        <f>TEXT(WEEKDAY(DATE(CalendarYear,8,8),1),"aaa")</f>
        <v>الخميس</v>
      </c>
      <c r="K5" s="15" t="str">
        <f>TEXT(WEEKDAY(DATE(CalendarYear,8,9),1),"aaa")</f>
        <v>الجمعة</v>
      </c>
      <c r="L5" s="15" t="str">
        <f>TEXT(WEEKDAY(DATE(CalendarYear,8,10),1),"aaa")</f>
        <v>السبت</v>
      </c>
      <c r="M5" s="15" t="str">
        <f>TEXT(WEEKDAY(DATE(CalendarYear,8,11),1),"aaa")</f>
        <v>الأحد</v>
      </c>
      <c r="N5" s="15" t="str">
        <f>TEXT(WEEKDAY(DATE(CalendarYear,8,12),1),"aaa")</f>
        <v>الإثنين</v>
      </c>
      <c r="O5" s="15" t="str">
        <f>TEXT(WEEKDAY(DATE(CalendarYear,8,13),1),"aaa")</f>
        <v>الثلاثاء</v>
      </c>
      <c r="P5" s="15" t="str">
        <f>TEXT(WEEKDAY(DATE(CalendarYear,8,14),1),"aaa")</f>
        <v>الأربعاء</v>
      </c>
      <c r="Q5" s="15" t="str">
        <f>TEXT(WEEKDAY(DATE(CalendarYear,8,15),1),"aaa")</f>
        <v>الخميس</v>
      </c>
      <c r="R5" s="15" t="str">
        <f>TEXT(WEEKDAY(DATE(CalendarYear,8,16),1),"aaa")</f>
        <v>الجمعة</v>
      </c>
      <c r="S5" s="15" t="str">
        <f>TEXT(WEEKDAY(DATE(CalendarYear,8,17),1),"aaa")</f>
        <v>السبت</v>
      </c>
      <c r="T5" s="15" t="str">
        <f>TEXT(WEEKDAY(DATE(CalendarYear,8,18),1),"aaa")</f>
        <v>الأحد</v>
      </c>
      <c r="U5" s="15" t="str">
        <f>TEXT(WEEKDAY(DATE(CalendarYear,8,19),1),"aaa")</f>
        <v>الإثنين</v>
      </c>
      <c r="V5" s="15" t="str">
        <f>TEXT(WEEKDAY(DATE(CalendarYear,8,20),1),"aaa")</f>
        <v>الثلاثاء</v>
      </c>
      <c r="W5" s="15" t="str">
        <f>TEXT(WEEKDAY(DATE(CalendarYear,8,21),1),"aaa")</f>
        <v>الأربعاء</v>
      </c>
      <c r="X5" s="15" t="str">
        <f>TEXT(WEEKDAY(DATE(CalendarYear,8,22),1),"aaa")</f>
        <v>الخميس</v>
      </c>
      <c r="Y5" s="15" t="str">
        <f>TEXT(WEEKDAY(DATE(CalendarYear,8,23),1),"aaa")</f>
        <v>الجمعة</v>
      </c>
      <c r="Z5" s="15" t="str">
        <f>TEXT(WEEKDAY(DATE(CalendarYear,8,24),1),"aaa")</f>
        <v>السبت</v>
      </c>
      <c r="AA5" s="15" t="str">
        <f>TEXT(WEEKDAY(DATE(CalendarYear,8,25),1),"aaa")</f>
        <v>الأحد</v>
      </c>
      <c r="AB5" s="15" t="str">
        <f>TEXT(WEEKDAY(DATE(CalendarYear,8,26),1),"aaa")</f>
        <v>الإثنين</v>
      </c>
      <c r="AC5" s="15" t="str">
        <f>TEXT(WEEKDAY(DATE(CalendarYear,8,27),1),"aaa")</f>
        <v>الثلاثاء</v>
      </c>
      <c r="AD5" s="15" t="str">
        <f>TEXT(WEEKDAY(DATE(CalendarYear,8,28),1),"aaa")</f>
        <v>الأربعاء</v>
      </c>
      <c r="AE5" s="15" t="str">
        <f>TEXT(WEEKDAY(DATE(CalendarYear,8,29),1),"aaa")</f>
        <v>الخميس</v>
      </c>
      <c r="AF5" s="15" t="str">
        <f>TEXT(WEEKDAY(DATE(CalendarYear,8,30),1),"aaa")</f>
        <v>الجمعة</v>
      </c>
      <c r="AG5" s="15" t="str">
        <f>TEXT(WEEKDAY(DATE(CalendarYear,8,31),1),"aaa")</f>
        <v>السبت</v>
      </c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50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COUNTA(أغسطس[[#This Row],[1]:[31]])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COUNTA(أغسطس[[#This Row],[1]:[31]])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COUNTA(أغسطس[[#This Row],[1]:[31]])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COUNTA(أغسطس[[#This Row],[1]:[31]])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COUNTA(أغسطس[[#This Row],[1]:[31]])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أغسطس</v>
      </c>
      <c r="C12" s="21">
        <f>SUBTOTAL(103,أغسطس[1])</f>
        <v>0</v>
      </c>
      <c r="D12" s="21">
        <f>SUBTOTAL(103,أغسطس[2])</f>
        <v>0</v>
      </c>
      <c r="E12" s="21">
        <f>SUBTOTAL(103,أغسطس[3])</f>
        <v>0</v>
      </c>
      <c r="F12" s="21">
        <f>SUBTOTAL(103,أغسطس[4])</f>
        <v>0</v>
      </c>
      <c r="G12" s="21">
        <f>SUBTOTAL(103,أغسطس[5])</f>
        <v>0</v>
      </c>
      <c r="H12" s="21">
        <f>SUBTOTAL(103,أغسطس[6])</f>
        <v>0</v>
      </c>
      <c r="I12" s="21">
        <f>SUBTOTAL(103,أغسطس[7])</f>
        <v>0</v>
      </c>
      <c r="J12" s="21">
        <f>SUBTOTAL(103,أغسطس[8])</f>
        <v>0</v>
      </c>
      <c r="K12" s="21">
        <f>SUBTOTAL(103,أغسطس[9])</f>
        <v>0</v>
      </c>
      <c r="L12" s="21">
        <f>SUBTOTAL(103,أغسطس[10])</f>
        <v>0</v>
      </c>
      <c r="M12" s="21">
        <f>SUBTOTAL(103,أغسطس[11])</f>
        <v>0</v>
      </c>
      <c r="N12" s="21">
        <f>SUBTOTAL(103,أغسطس[12])</f>
        <v>0</v>
      </c>
      <c r="O12" s="21">
        <f>SUBTOTAL(103,أغسطس[13])</f>
        <v>0</v>
      </c>
      <c r="P12" s="21">
        <f>SUBTOTAL(103,أغسطس[14])</f>
        <v>0</v>
      </c>
      <c r="Q12" s="21">
        <f>SUBTOTAL(103,أغسطس[15])</f>
        <v>0</v>
      </c>
      <c r="R12" s="21">
        <f>SUBTOTAL(103,أغسطس[16])</f>
        <v>0</v>
      </c>
      <c r="S12" s="21">
        <f>SUBTOTAL(103,أغسطس[17])</f>
        <v>0</v>
      </c>
      <c r="T12" s="21">
        <f>SUBTOTAL(103,أغسطس[18])</f>
        <v>0</v>
      </c>
      <c r="U12" s="21">
        <f>SUBTOTAL(103,أغسطس[19])</f>
        <v>0</v>
      </c>
      <c r="V12" s="21">
        <f>SUBTOTAL(103,أغسطس[20])</f>
        <v>0</v>
      </c>
      <c r="W12" s="21">
        <f>SUBTOTAL(103,أغسطس[21])</f>
        <v>0</v>
      </c>
      <c r="X12" s="21">
        <f>SUBTOTAL(103,أغسطس[22])</f>
        <v>0</v>
      </c>
      <c r="Y12" s="21">
        <f>SUBTOTAL(103,أغسطس[23])</f>
        <v>0</v>
      </c>
      <c r="Z12" s="21">
        <f>SUBTOTAL(103,أغسطس[24])</f>
        <v>0</v>
      </c>
      <c r="AA12" s="21">
        <f>SUBTOTAL(103,أغسطس[25])</f>
        <v>0</v>
      </c>
      <c r="AB12" s="21">
        <f>SUBTOTAL(103,أغسطس[26])</f>
        <v>0</v>
      </c>
      <c r="AC12" s="21">
        <f>SUBTOTAL(103,أغسطس[27])</f>
        <v>0</v>
      </c>
      <c r="AD12" s="21">
        <f>SUBTOTAL(103,أغسطس[28])</f>
        <v>0</v>
      </c>
      <c r="AE12" s="21">
        <f>SUBTOTAL(103,أغسطس[29])</f>
        <v>0</v>
      </c>
      <c r="AF12" s="21">
        <f>SUBTOTAL(103,أغسطس[30])</f>
        <v>0</v>
      </c>
      <c r="AG12" s="21">
        <f>SUBTOTAL(103,أغسطس[31])</f>
        <v>0</v>
      </c>
      <c r="AH12" s="21">
        <f>SUBTOTAL(109,أغسطس[إجمالي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374" priority="2" stopIfTrue="1">
      <formula>C7=KeyCustom2</formula>
    </cfRule>
    <cfRule type="expression" dxfId="373" priority="3" stopIfTrue="1">
      <formula>C7=KeyCustom1</formula>
    </cfRule>
    <cfRule type="expression" dxfId="372" priority="4" stopIfTrue="1">
      <formula>C7=KeySick</formula>
    </cfRule>
    <cfRule type="expression" dxfId="371" priority="5" stopIfTrue="1">
      <formula>C7=KeyPersonal</formula>
    </cfRule>
    <cfRule type="expression" dxfId="370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{C2FD954C-FCC4-4974-974C-2DD41B724624}</x14:id>
        </ext>
      </extLst>
    </cfRule>
  </conditionalFormatting>
  <dataValidations count="14"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CC9E54B0-4087-4B6B-BD64-DC09CA50A761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8304CF41-B06A-4F22-B800-399FF2D51019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DBBE96AE-7187-49D8-8C7F-67920CCA59DB}"/>
    <dataValidation allowBlank="1" showInputMessage="1" showErrorMessage="1" prompt="أدخل تسمية لوصف المفتاح المخصص على اليمين" sqref="O2:Q2 S2:U2" xr:uid="{FE7BD4ED-C9AA-450B-BFDB-E95E92F031E6}"/>
    <dataValidation allowBlank="1" showInputMessage="1" showErrorMessage="1" prompt="أدخل حرفاً وخصّص التسمية مباشرة لإضافة عنصر مفتاحي آخر" sqref="N2 R2" xr:uid="{22D79C9C-A144-4FA6-A5FD-BD5B7A936864}"/>
    <dataValidation allowBlank="1" showInputMessage="1" showErrorMessage="1" prompt="الحرف &quot;م&quot; يشير إلى الغياب بسبب المرض" sqref="K2" xr:uid="{AEEDA5BD-E359-4321-ABED-4D1AF40C5858}"/>
    <dataValidation allowBlank="1" showInputMessage="1" showErrorMessage="1" prompt="الحرف &quot;ش&quot; يشير إلى الغياب لأسباب شخصية" sqref="G2" xr:uid="{40583D42-5F74-4530-8F51-B8B097697496}"/>
    <dataValidation allowBlank="1" showInputMessage="1" showErrorMessage="1" prompt="الحرف &quot;ع&quot; يشير إلى الغياب بسبب قضاء عطلة" sqref="C2" xr:uid="{281AD4BF-4BD4-4DB7-A809-4F178E1BA8D7}"/>
    <dataValidation allowBlank="1" showInputMessage="1" showErrorMessage="1" prompt="عنوان محدّث تلقائياً في هذه الخلية. لتعديل العنوان، قم بتحديث B1 في ورقة العمل &quot;يناير&quot;." sqref="B1" xr:uid="{0746FFF3-5B8E-49A5-BD56-5273AEC85619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A80FD46F-953E-4AD2-AA74-6B2FC548BFD6}"/>
    <dataValidation allowBlank="1" showInputMessage="1" showErrorMessage="1" prompt="تعقب الغياب في شهر أغسطس في ورقة العمل هذه" sqref="A1" xr:uid="{0E16123F-3733-4E84-B3C4-E1B2AC073D77}"/>
    <dataValidation allowBlank="1" showInputMessage="1" showErrorMessage="1" prompt="يتم حساب إجمالي عدد أيام غياب موظف هذا الشهر في هذا العمود تلقائياً" sqref="AH6" xr:uid="{2C3C84A2-03E2-44D7-B1CF-61E25460FD2D}"/>
    <dataValidation allowBlank="1" showInputMessage="1" showErrorMessage="1" prompt="سنة محدّثة تلقائياً استناداً إلى السنة التي تم إدخالها في ورقة عمل &quot;يناير&quot;." sqref="AH4" xr:uid="{DB32D0B3-E1DA-4982-A163-A1591A9ED2E7}"/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759EBC1F-B4A8-4505-8800-035DDB0A1A32}"/>
  </dataValidations>
  <hyperlinks>
    <hyperlink ref="B1" r:id="rId1" display="https://namozagy.com/نموذج-جدول-دوام-الموظفين/" xr:uid="{7D711C97-5F58-4942-BCF3-DBCB315B794A}"/>
  </hyperlinks>
  <printOptions horizontalCentered="1"/>
  <pageMargins left="0.25" right="0.25" top="0.75" bottom="0.75" header="0.3" footer="0.3"/>
  <pageSetup paperSize="9" scale="53" fitToHeight="0" orientation="landscape" verticalDpi="4294967293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FD954C-FCC4-4974-974C-2DD41B724624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DACD4-DABA-43BE-8DD6-6ABCB1C0758E}">
  <sheetPr>
    <tabColor theme="2" tint="-0.499984740745262"/>
    <pageSetUpPr fitToPage="1"/>
  </sheetPr>
  <dimension ref="A1:AI12"/>
  <sheetViews>
    <sheetView showGridLines="0" rightToLeft="1" zoomScale="70" zoomScaleNormal="70" workbookViewId="0">
      <selection activeCell="M14" sqref="M14"/>
    </sheetView>
  </sheetViews>
  <sheetFormatPr defaultRowHeight="30" customHeight="1" x14ac:dyDescent="0.2"/>
  <cols>
    <col min="1" max="1" width="2.625" style="1" customWidth="1"/>
    <col min="2" max="2" width="25.625" style="1" customWidth="1"/>
    <col min="3" max="33" width="6.625" style="1" customWidth="1"/>
    <col min="34" max="34" width="13.5" style="1" customWidth="1"/>
    <col min="35" max="35" width="2.625" style="1" customWidth="1"/>
    <col min="36" max="16384" width="9" style="1"/>
  </cols>
  <sheetData>
    <row r="1" spans="1:35" s="6" customFormat="1" ht="50.1" customHeight="1" x14ac:dyDescent="0.2">
      <c r="A1" s="1"/>
      <c r="B1" s="5" t="str">
        <f>Employee_Absence_Title</f>
        <v>جدول غياب الموظفين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s="6" customFormat="1" ht="15" customHeight="1" x14ac:dyDescent="0.2">
      <c r="A2" s="1"/>
      <c r="B2" s="7" t="s">
        <v>7</v>
      </c>
      <c r="C2" s="8" t="s">
        <v>8</v>
      </c>
      <c r="D2" s="25" t="s">
        <v>9</v>
      </c>
      <c r="E2" s="25"/>
      <c r="F2" s="25"/>
      <c r="G2" s="9" t="s">
        <v>10</v>
      </c>
      <c r="H2" s="25" t="s">
        <v>11</v>
      </c>
      <c r="I2" s="25"/>
      <c r="J2" s="25"/>
      <c r="K2" s="10" t="s">
        <v>12</v>
      </c>
      <c r="L2" s="25" t="s">
        <v>13</v>
      </c>
      <c r="M2" s="25"/>
      <c r="N2" s="11"/>
      <c r="O2" s="25" t="s">
        <v>14</v>
      </c>
      <c r="P2" s="25"/>
      <c r="Q2" s="25"/>
      <c r="R2" s="12"/>
      <c r="S2" s="25" t="s">
        <v>15</v>
      </c>
      <c r="T2" s="25"/>
      <c r="U2" s="2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s="6" customFormat="1" ht="15" customHeight="1" x14ac:dyDescent="0.2">
      <c r="A3" s="1"/>
      <c r="B3" s="2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5" s="6" customFormat="1" ht="30" customHeight="1" x14ac:dyDescent="0.2">
      <c r="A4" s="1"/>
      <c r="B4" s="14" t="s">
        <v>61</v>
      </c>
      <c r="C4" s="24" t="s">
        <v>18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14">
        <f>CalendarYear</f>
        <v>2019</v>
      </c>
      <c r="AI4" s="1"/>
    </row>
    <row r="5" spans="1:35" s="6" customFormat="1" ht="15" customHeight="1" x14ac:dyDescent="0.2">
      <c r="A5" s="1"/>
      <c r="B5" s="14"/>
      <c r="C5" s="15" t="str">
        <f>TEXT(WEEKDAY(DATE(CalendarYear,9,1),1),"aaa")</f>
        <v>الأحد</v>
      </c>
      <c r="D5" s="15" t="str">
        <f>TEXT(WEEKDAY(DATE(CalendarYear,9,2),1),"aaa")</f>
        <v>الإثنين</v>
      </c>
      <c r="E5" s="15" t="str">
        <f>TEXT(WEEKDAY(DATE(CalendarYear,9,3),1),"aaa")</f>
        <v>الثلاثاء</v>
      </c>
      <c r="F5" s="15" t="str">
        <f>TEXT(WEEKDAY(DATE(CalendarYear,9,4),1),"aaa")</f>
        <v>الأربعاء</v>
      </c>
      <c r="G5" s="15" t="str">
        <f>TEXT(WEEKDAY(DATE(CalendarYear,9,5),1),"aaa")</f>
        <v>الخميس</v>
      </c>
      <c r="H5" s="15" t="str">
        <f>TEXT(WEEKDAY(DATE(CalendarYear,9,6),1),"aaa")</f>
        <v>الجمعة</v>
      </c>
      <c r="I5" s="15" t="str">
        <f>TEXT(WEEKDAY(DATE(CalendarYear,9,7),1),"aaa")</f>
        <v>السبت</v>
      </c>
      <c r="J5" s="15" t="str">
        <f>TEXT(WEEKDAY(DATE(CalendarYear,9,8),1),"aaa")</f>
        <v>الأحد</v>
      </c>
      <c r="K5" s="15" t="str">
        <f>TEXT(WEEKDAY(DATE(CalendarYear,9,9),1),"aaa")</f>
        <v>الإثنين</v>
      </c>
      <c r="L5" s="15" t="str">
        <f>TEXT(WEEKDAY(DATE(CalendarYear,9,10),1),"aaa")</f>
        <v>الثلاثاء</v>
      </c>
      <c r="M5" s="15" t="str">
        <f>TEXT(WEEKDAY(DATE(CalendarYear,9,11),1),"aaa")</f>
        <v>الأربعاء</v>
      </c>
      <c r="N5" s="15" t="str">
        <f>TEXT(WEEKDAY(DATE(CalendarYear,9,12),1),"aaa")</f>
        <v>الخميس</v>
      </c>
      <c r="O5" s="15" t="str">
        <f>TEXT(WEEKDAY(DATE(CalendarYear,9,13),1),"aaa")</f>
        <v>الجمعة</v>
      </c>
      <c r="P5" s="15" t="str">
        <f>TEXT(WEEKDAY(DATE(CalendarYear,9,14),1),"aaa")</f>
        <v>السبت</v>
      </c>
      <c r="Q5" s="15" t="str">
        <f>TEXT(WEEKDAY(DATE(CalendarYear,9,15),1),"aaa")</f>
        <v>الأحد</v>
      </c>
      <c r="R5" s="15" t="str">
        <f>TEXT(WEEKDAY(DATE(CalendarYear,9,16),1),"aaa")</f>
        <v>الإثنين</v>
      </c>
      <c r="S5" s="15" t="str">
        <f>TEXT(WEEKDAY(DATE(CalendarYear,9,17),1),"aaa")</f>
        <v>الثلاثاء</v>
      </c>
      <c r="T5" s="15" t="str">
        <f>TEXT(WEEKDAY(DATE(CalendarYear,9,18),1),"aaa")</f>
        <v>الأربعاء</v>
      </c>
      <c r="U5" s="15" t="str">
        <f>TEXT(WEEKDAY(DATE(CalendarYear,9,19),1),"aaa")</f>
        <v>الخميس</v>
      </c>
      <c r="V5" s="15" t="str">
        <f>TEXT(WEEKDAY(DATE(CalendarYear,9,20),1),"aaa")</f>
        <v>الجمعة</v>
      </c>
      <c r="W5" s="15" t="str">
        <f>TEXT(WEEKDAY(DATE(CalendarYear,9,21),1),"aaa")</f>
        <v>السبت</v>
      </c>
      <c r="X5" s="15" t="str">
        <f>TEXT(WEEKDAY(DATE(CalendarYear,9,22),1),"aaa")</f>
        <v>الأحد</v>
      </c>
      <c r="Y5" s="15" t="str">
        <f>TEXT(WEEKDAY(DATE(CalendarYear,9,23),1),"aaa")</f>
        <v>الإثنين</v>
      </c>
      <c r="Z5" s="15" t="str">
        <f>TEXT(WEEKDAY(DATE(CalendarYear,9,24),1),"aaa")</f>
        <v>الثلاثاء</v>
      </c>
      <c r="AA5" s="15" t="str">
        <f>TEXT(WEEKDAY(DATE(CalendarYear,9,25),1),"aaa")</f>
        <v>الأربعاء</v>
      </c>
      <c r="AB5" s="15" t="str">
        <f>TEXT(WEEKDAY(DATE(CalendarYear,9,26),1),"aaa")</f>
        <v>الخميس</v>
      </c>
      <c r="AC5" s="15" t="str">
        <f>TEXT(WEEKDAY(DATE(CalendarYear,9,27),1),"aaa")</f>
        <v>الجمعة</v>
      </c>
      <c r="AD5" s="15" t="str">
        <f>TEXT(WEEKDAY(DATE(CalendarYear,9,28),1),"aaa")</f>
        <v>السبت</v>
      </c>
      <c r="AE5" s="15" t="str">
        <f>TEXT(WEEKDAY(DATE(CalendarYear,9,29),1),"aaa")</f>
        <v>الأحد</v>
      </c>
      <c r="AF5" s="15" t="str">
        <f>TEXT(WEEKDAY(DATE(CalendarYear,9,30),1),"aaa")</f>
        <v>الإثنين</v>
      </c>
      <c r="AG5" s="15"/>
      <c r="AH5" s="14"/>
      <c r="AI5" s="1"/>
    </row>
    <row r="6" spans="1:35" s="6" customFormat="1" ht="15" customHeight="1" x14ac:dyDescent="0.2">
      <c r="A6" s="1"/>
      <c r="B6" s="16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 t="s">
        <v>35</v>
      </c>
      <c r="S6" s="15" t="s">
        <v>36</v>
      </c>
      <c r="T6" s="15" t="s">
        <v>37</v>
      </c>
      <c r="U6" s="15" t="s">
        <v>38</v>
      </c>
      <c r="V6" s="15" t="s">
        <v>39</v>
      </c>
      <c r="W6" s="15" t="s">
        <v>40</v>
      </c>
      <c r="X6" s="15" t="s">
        <v>41</v>
      </c>
      <c r="Y6" s="15" t="s">
        <v>42</v>
      </c>
      <c r="Z6" s="15" t="s">
        <v>43</v>
      </c>
      <c r="AA6" s="15" t="s">
        <v>44</v>
      </c>
      <c r="AB6" s="15" t="s">
        <v>45</v>
      </c>
      <c r="AC6" s="15" t="s">
        <v>46</v>
      </c>
      <c r="AD6" s="15" t="s">
        <v>47</v>
      </c>
      <c r="AE6" s="15" t="s">
        <v>48</v>
      </c>
      <c r="AF6" s="15" t="s">
        <v>49</v>
      </c>
      <c r="AG6" s="15" t="s">
        <v>53</v>
      </c>
      <c r="AH6" s="17" t="s">
        <v>51</v>
      </c>
      <c r="AI6" s="1"/>
    </row>
    <row r="7" spans="1:35" s="6" customFormat="1" ht="30" customHeight="1" x14ac:dyDescent="0.2">
      <c r="A7" s="1"/>
      <c r="B7" s="18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9">
        <f>COUNTA(سبتمبر[[#This Row],[1]:[30]])</f>
        <v>0</v>
      </c>
      <c r="AI7" s="1"/>
    </row>
    <row r="8" spans="1:35" s="6" customFormat="1" ht="30" customHeight="1" x14ac:dyDescent="0.2">
      <c r="A8" s="1"/>
      <c r="B8" s="18" t="s">
        <v>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9">
        <f>COUNTA(سبتمبر[[#This Row],[1]:[30]])</f>
        <v>0</v>
      </c>
      <c r="AI8" s="1"/>
    </row>
    <row r="9" spans="1:35" s="6" customFormat="1" ht="30" customHeight="1" x14ac:dyDescent="0.2">
      <c r="A9" s="1"/>
      <c r="B9" s="18" t="s">
        <v>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9">
        <f>COUNTA(سبتمبر[[#This Row],[1]:[30]])</f>
        <v>0</v>
      </c>
      <c r="AI9" s="1"/>
    </row>
    <row r="10" spans="1:35" s="6" customFormat="1" ht="30" customHeight="1" x14ac:dyDescent="0.2">
      <c r="A10" s="1"/>
      <c r="B10" s="1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9">
        <f>COUNTA(سبتمبر[[#This Row],[1]:[30]])</f>
        <v>0</v>
      </c>
      <c r="AI10" s="1"/>
    </row>
    <row r="11" spans="1:35" s="6" customFormat="1" ht="30" customHeight="1" x14ac:dyDescent="0.2">
      <c r="A11" s="1"/>
      <c r="B11" s="18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9">
        <f>COUNTA(سبتمبر[[#This Row],[1]:[30]])</f>
        <v>0</v>
      </c>
      <c r="AI11" s="1"/>
    </row>
    <row r="12" spans="1:35" s="6" customFormat="1" ht="30" customHeight="1" x14ac:dyDescent="0.2">
      <c r="A12" s="1"/>
      <c r="B12" s="20" t="str">
        <f>"إجمالي شهر "&amp;MonthName</f>
        <v>إجمالي شهر سبتمبر</v>
      </c>
      <c r="C12" s="21">
        <f>SUBTOTAL(103,سبتمبر[1])</f>
        <v>0</v>
      </c>
      <c r="D12" s="21">
        <f>SUBTOTAL(103,سبتمبر[2])</f>
        <v>0</v>
      </c>
      <c r="E12" s="21">
        <f>SUBTOTAL(103,سبتمبر[3])</f>
        <v>0</v>
      </c>
      <c r="F12" s="21">
        <f>SUBTOTAL(103,سبتمبر[4])</f>
        <v>0</v>
      </c>
      <c r="G12" s="21">
        <f>SUBTOTAL(103,سبتمبر[5])</f>
        <v>0</v>
      </c>
      <c r="H12" s="21">
        <f>SUBTOTAL(103,سبتمبر[6])</f>
        <v>0</v>
      </c>
      <c r="I12" s="21">
        <f>SUBTOTAL(103,سبتمبر[7])</f>
        <v>0</v>
      </c>
      <c r="J12" s="21">
        <f>SUBTOTAL(103,سبتمبر[8])</f>
        <v>0</v>
      </c>
      <c r="K12" s="21">
        <f>SUBTOTAL(103,سبتمبر[9])</f>
        <v>0</v>
      </c>
      <c r="L12" s="21">
        <f>SUBTOTAL(103,سبتمبر[10])</f>
        <v>0</v>
      </c>
      <c r="M12" s="21">
        <f>SUBTOTAL(103,سبتمبر[11])</f>
        <v>0</v>
      </c>
      <c r="N12" s="21">
        <f>SUBTOTAL(103,سبتمبر[12])</f>
        <v>0</v>
      </c>
      <c r="O12" s="21">
        <f>SUBTOTAL(103,سبتمبر[13])</f>
        <v>0</v>
      </c>
      <c r="P12" s="21">
        <f>SUBTOTAL(103,سبتمبر[14])</f>
        <v>0</v>
      </c>
      <c r="Q12" s="21">
        <f>SUBTOTAL(103,سبتمبر[15])</f>
        <v>0</v>
      </c>
      <c r="R12" s="21">
        <f>SUBTOTAL(103,سبتمبر[16])</f>
        <v>0</v>
      </c>
      <c r="S12" s="21">
        <f>SUBTOTAL(103,سبتمبر[17])</f>
        <v>0</v>
      </c>
      <c r="T12" s="21">
        <f>SUBTOTAL(103,سبتمبر[18])</f>
        <v>0</v>
      </c>
      <c r="U12" s="21">
        <f>SUBTOTAL(103,سبتمبر[19])</f>
        <v>0</v>
      </c>
      <c r="V12" s="21">
        <f>SUBTOTAL(103,سبتمبر[20])</f>
        <v>0</v>
      </c>
      <c r="W12" s="21">
        <f>SUBTOTAL(103,سبتمبر[21])</f>
        <v>0</v>
      </c>
      <c r="X12" s="21">
        <f>SUBTOTAL(103,سبتمبر[22])</f>
        <v>0</v>
      </c>
      <c r="Y12" s="21">
        <f>SUBTOTAL(103,سبتمبر[23])</f>
        <v>0</v>
      </c>
      <c r="Z12" s="21">
        <f>SUBTOTAL(103,سبتمبر[24])</f>
        <v>0</v>
      </c>
      <c r="AA12" s="21">
        <f>SUBTOTAL(103,سبتمبر[25])</f>
        <v>0</v>
      </c>
      <c r="AB12" s="21">
        <f>SUBTOTAL(103,سبتمبر[26])</f>
        <v>0</v>
      </c>
      <c r="AC12" s="21">
        <f>SUBTOTAL(103,سبتمبر[27])</f>
        <v>0</v>
      </c>
      <c r="AD12" s="21">
        <f>SUBTOTAL(103,سبتمبر[28])</f>
        <v>0</v>
      </c>
      <c r="AE12" s="21">
        <f>SUBTOTAL(103,سبتمبر[29])</f>
        <v>0</v>
      </c>
      <c r="AF12" s="21">
        <f>SUBTOTAL(103,سبتمبر[30])</f>
        <v>0</v>
      </c>
      <c r="AG12" s="21">
        <f>SUBTOTAL(103,سبتمبر[[ ]])</f>
        <v>0</v>
      </c>
      <c r="AH12" s="21">
        <f>SUBTOTAL(109,سبتمبر[إجمالي الأيام])</f>
        <v>0</v>
      </c>
      <c r="AI12" s="1"/>
    </row>
  </sheetData>
  <mergeCells count="6">
    <mergeCell ref="C4:AG4"/>
    <mergeCell ref="D2:F2"/>
    <mergeCell ref="H2:J2"/>
    <mergeCell ref="L2:M2"/>
    <mergeCell ref="O2:Q2"/>
    <mergeCell ref="S2:U2"/>
  </mergeCells>
  <conditionalFormatting sqref="C7:AG11">
    <cfRule type="expression" priority="1" stopIfTrue="1">
      <formula>C7=""</formula>
    </cfRule>
  </conditionalFormatting>
  <conditionalFormatting sqref="C7:AG11">
    <cfRule type="expression" dxfId="300" priority="2" stopIfTrue="1">
      <formula>C7=KeyCustom2</formula>
    </cfRule>
    <cfRule type="expression" dxfId="299" priority="3" stopIfTrue="1">
      <formula>C7=KeyCustom1</formula>
    </cfRule>
    <cfRule type="expression" dxfId="298" priority="4" stopIfTrue="1">
      <formula>C7=KeySick</formula>
    </cfRule>
    <cfRule type="expression" dxfId="297" priority="5" stopIfTrue="1">
      <formula>C7=KeyPersonal</formula>
    </cfRule>
    <cfRule type="expression" dxfId="296" priority="6" stopIfTrue="1">
      <formula>C7=KeyVacation</formula>
    </cfRule>
  </conditionalFormatting>
  <conditionalFormatting sqref="AH7:AH11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{72096E11-E38E-4786-B52A-9D7B54EA1326}</x14:id>
        </ext>
      </extLst>
    </cfRule>
  </conditionalFormatting>
  <dataValidations count="14">
    <dataValidation allowBlank="1" showInputMessage="1" showErrorMessage="1" prompt="يتم تحديث أيام الأسبوع تلقائياً في هذا الصف للشهر وفقاً للسنة في AH4. وكل يوم في الشهر هو عمود لتدوين غياب الموظف ونوع الغياب." sqref="C5" xr:uid="{6CEB4DAC-F679-4FEF-86B0-59CA5C4560F9}"/>
    <dataValidation allowBlank="1" showInputMessage="1" showErrorMessage="1" prompt="سنة محدّثة تلقائياً استناداً إلى السنة التي تم إدخالها في ورقة عمل &quot;يناير&quot;." sqref="AH4" xr:uid="{DD06665D-A5D3-42D6-AAAE-276BF98F5C3A}"/>
    <dataValidation allowBlank="1" showInputMessage="1" showErrorMessage="1" prompt="يتم حساب إجمالي عدد أيام غياب موظف هذا الشهر في هذا العمود تلقائياً" sqref="AH6" xr:uid="{3233E223-D69D-47D8-92C1-038CB0D855A4}"/>
    <dataValidation allowBlank="1" showInputMessage="1" showErrorMessage="1" prompt="تعقب الغياب في شهر سبتمبر في ورقة العمل هذه" sqref="A1" xr:uid="{9D4D5975-4E70-43D9-87D9-CEF71136DB37}"/>
    <dataValidation errorStyle="warning" allowBlank="1" showInputMessage="1" showErrorMessage="1" error="حدد اسماً من القائمة، ثم حدد &quot;إلغاء الأمر&quot; واضغط على ALT+سهم لأسفل ثم على مفتاح الإدخال ENTER لتحديد اسم." prompt="أدخل أسماء الموظفين في ورقة العمل &quot;أسماء الموظفين&quot; ثم حدد أحد هذه الأسماء من القائمة في هذا العمود. اضغط على ALT+سهم لأسفل ثم على مفتاح الإدخال ENTER لتحديد اسم." sqref="B6" xr:uid="{D05EF1E8-49C2-4AE7-8D75-5291A97517A8}"/>
    <dataValidation allowBlank="1" showInputMessage="1" showErrorMessage="1" prompt="عنوان محدّث تلقائياً في هذه الخلية. لتعديل العنوان، قم بتحديث B1 في ورقة العمل &quot;يناير&quot;." sqref="B1" xr:uid="{7C932100-508E-4380-A46B-86BE6BEF039F}"/>
    <dataValidation allowBlank="1" showInputMessage="1" showErrorMessage="1" prompt="الحرف &quot;ع&quot; يشير إلى الغياب بسبب قضاء عطلة" sqref="C2" xr:uid="{8763EE85-1B56-4A51-AE43-32FF114B0E27}"/>
    <dataValidation allowBlank="1" showInputMessage="1" showErrorMessage="1" prompt="الحرف &quot;ش&quot; يشير إلى الغياب لأسباب شخصية" sqref="G2" xr:uid="{651A0752-40C8-43A2-8562-3A0C7F0A394B}"/>
    <dataValidation allowBlank="1" showInputMessage="1" showErrorMessage="1" prompt="الحرف &quot;م&quot; يشير إلى الغياب بسبب المرض" sqref="K2" xr:uid="{3AC459C9-E468-4BF8-89E4-1C116C99977F}"/>
    <dataValidation allowBlank="1" showInputMessage="1" showErrorMessage="1" prompt="أدخل حرفاً وخصّص التسمية مباشرة لإضافة عنصر مفتاحي آخر" sqref="N2 R2" xr:uid="{F165AF20-09EE-408F-B8A3-3E9C58109E97}"/>
    <dataValidation allowBlank="1" showInputMessage="1" showErrorMessage="1" prompt="أدخل تسمية لوصف المفتاح المخصص على اليمين" sqref="O2:Q2 S2:U2" xr:uid="{0C587598-2B00-4129-879F-731957E4A309}"/>
    <dataValidation allowBlank="1" showInputMessage="1" showErrorMessage="1" prompt="يعرّف هذا الصف المفاتيح المستخدمة في الجدول: الخلية C2 هي الغياب لقضاء عطلة، خلية G2 هي الغياب لأسباب شخصية والخلية K2 للغياب المرضي. الخليتان R2 وN2 قابلتان للتخصيص." sqref="B2" xr:uid="{DA020197-7A3E-4594-BC83-AED638FC3767}"/>
    <dataValidation allowBlank="1" showInputMessage="1" showErrorMessage="1" prompt="اسم الشهر لجدول الغياب هذا موجود في هذه الخلية. إجماليات الغياب لهذا الشهر موجودة في الخلية الأخيرة للجدول. حدد أسماء الموظفين في العمود B للجدول." sqref="B4" xr:uid="{FC7108F0-EF36-4747-ACEA-816D4EF5E682}"/>
    <dataValidation allowBlank="1" showInputMessage="1" showErrorMessage="1" prompt="يتم تلقائياً إنشاء أيام من الشهر الموجود في هذا الصف. أدخل غياب الموظف ونوع الغياب في كل عمود لكل يوم من أيام الشهر. والخلايا الفارغة تعني عدم وجود غياب." sqref="C6" xr:uid="{1A56FCE6-C579-4C44-9CF2-6E914EF24F14}"/>
  </dataValidations>
  <printOptions horizontalCentered="1"/>
  <pageMargins left="0.25" right="0.25" top="0.75" bottom="0.75" header="0.3" footer="0.3"/>
  <pageSetup paperSize="9" scale="53" fitToHeight="0" orientation="landscape" vertic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096E11-E38E-4786-B52A-9D7B54EA1326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AH7:AH11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49</vt:i4>
      </vt:variant>
    </vt:vector>
  </HeadingPairs>
  <TitlesOfParts>
    <vt:vector size="62" baseType="lpstr">
      <vt:lpstr>يناير</vt:lpstr>
      <vt:lpstr>فبراير</vt:lpstr>
      <vt:lpstr>مارس</vt:lpstr>
      <vt:lpstr>أبريل</vt:lpstr>
      <vt:lpstr>مايو</vt:lpstr>
      <vt:lpstr>يونيو</vt:lpstr>
      <vt:lpstr>يوليو</vt:lpstr>
      <vt:lpstr>أغسطس</vt:lpstr>
      <vt:lpstr>سبتمبر</vt:lpstr>
      <vt:lpstr>أكتوبر</vt:lpstr>
      <vt:lpstr>نوفمبر</vt:lpstr>
      <vt:lpstr>ديسمبر</vt:lpstr>
      <vt:lpstr>أسماء الموظفين</vt:lpstr>
      <vt:lpstr>ColumnTitle13</vt:lpstr>
      <vt:lpstr>Employee_Absence_Title</vt:lpstr>
      <vt:lpstr>Key_name</vt:lpstr>
      <vt:lpstr>يناير!KeyCustom1</vt:lpstr>
      <vt:lpstr>KeyCustom1Label</vt:lpstr>
      <vt:lpstr>يناير!KeyCustom2</vt:lpstr>
      <vt:lpstr>KeyCustom2Label</vt:lpstr>
      <vt:lpstr>يناير!KeyPersonal</vt:lpstr>
      <vt:lpstr>KeyPersonalLabel</vt:lpstr>
      <vt:lpstr>يناير!KeySick</vt:lpstr>
      <vt:lpstr>KeySickLabel</vt:lpstr>
      <vt:lpstr>يناير!KeyVacation</vt:lpstr>
      <vt:lpstr>KeyVacationLabel</vt:lpstr>
      <vt:lpstr>أبريل!MonthName</vt:lpstr>
      <vt:lpstr>أغسطس!MonthName</vt:lpstr>
      <vt:lpstr>أكتوبر!MonthName</vt:lpstr>
      <vt:lpstr>ديسمبر!MonthName</vt:lpstr>
      <vt:lpstr>سبتمبر!MonthName</vt:lpstr>
      <vt:lpstr>فبراير!MonthName</vt:lpstr>
      <vt:lpstr>مارس!MonthName</vt:lpstr>
      <vt:lpstr>مايو!MonthName</vt:lpstr>
      <vt:lpstr>نوفمبر!MonthName</vt:lpstr>
      <vt:lpstr>يناير!MonthName</vt:lpstr>
      <vt:lpstr>يوليو!MonthName</vt:lpstr>
      <vt:lpstr>يونيو!MonthName</vt:lpstr>
      <vt:lpstr>أبريل!Print_Titles</vt:lpstr>
      <vt:lpstr>أغسطس!Print_Titles</vt:lpstr>
      <vt:lpstr>أكتوبر!Print_Titles</vt:lpstr>
      <vt:lpstr>ديسمبر!Print_Titles</vt:lpstr>
      <vt:lpstr>سبتمبر!Print_Titles</vt:lpstr>
      <vt:lpstr>فبراير!Print_Titles</vt:lpstr>
      <vt:lpstr>مارس!Print_Titles</vt:lpstr>
      <vt:lpstr>مايو!Print_Titles</vt:lpstr>
      <vt:lpstr>نوفمبر!Print_Titles</vt:lpstr>
      <vt:lpstr>يناير!Print_Titles</vt:lpstr>
      <vt:lpstr>يوليو!Print_Titles</vt:lpstr>
      <vt:lpstr>يونيو!Print_Titles</vt:lpstr>
      <vt:lpstr>العنوان_1</vt:lpstr>
      <vt:lpstr>العنوان_10</vt:lpstr>
      <vt:lpstr>العنوان_11</vt:lpstr>
      <vt:lpstr>العنوان_12</vt:lpstr>
      <vt:lpstr>العنوان_2</vt:lpstr>
      <vt:lpstr>العنوان_3</vt:lpstr>
      <vt:lpstr>العنوان_4</vt:lpstr>
      <vt:lpstr>العنوان_5</vt:lpstr>
      <vt:lpstr>العنوان_6</vt:lpstr>
      <vt:lpstr>العنوان_7</vt:lpstr>
      <vt:lpstr>العنوان_8</vt:lpstr>
      <vt:lpstr>العنوان_9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 Ibrahiem</dc:creator>
  <cp:lastModifiedBy>Abdo Ibrahiem</cp:lastModifiedBy>
  <dcterms:created xsi:type="dcterms:W3CDTF">2015-06-05T18:17:20Z</dcterms:created>
  <dcterms:modified xsi:type="dcterms:W3CDTF">2022-05-29T20:22:40Z</dcterms:modified>
</cp:coreProperties>
</file>